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capcd.org\shares\Groups\ENGR\WP\ERCs\Offsets Project\Post Workgroup\Report\Clean Tech Fund Analyses\"/>
    </mc:Choice>
  </mc:AlternateContent>
  <bookViews>
    <workbookView xWindow="0" yWindow="0" windowWidth="28800" windowHeight="11985"/>
  </bookViews>
  <sheets>
    <sheet name="Data" sheetId="2" r:id="rId1"/>
    <sheet name="Documentation" sheetId="1" r:id="rId2"/>
  </sheets>
  <calcPr calcId="152511"/>
</workbook>
</file>

<file path=xl/calcChain.xml><?xml version="1.0" encoding="utf-8"?>
<calcChain xmlns="http://schemas.openxmlformats.org/spreadsheetml/2006/main">
  <c r="F124" i="1" l="1"/>
  <c r="E124" i="1"/>
  <c r="F133" i="1"/>
  <c r="F134" i="1"/>
  <c r="G134" i="1"/>
  <c r="C10" i="2"/>
  <c r="D133" i="1"/>
  <c r="D107" i="1"/>
  <c r="B143" i="1" l="1"/>
  <c r="A143" i="1"/>
  <c r="C143" i="1"/>
  <c r="D143" i="1"/>
  <c r="E143" i="1"/>
  <c r="F143" i="1"/>
  <c r="G143" i="1"/>
  <c r="A144" i="1"/>
  <c r="A145" i="1"/>
  <c r="A146" i="1"/>
  <c r="A147" i="1"/>
  <c r="A148" i="1"/>
  <c r="A149" i="1"/>
  <c r="A150" i="1"/>
  <c r="A151" i="1"/>
  <c r="A152" i="1"/>
  <c r="A153" i="1"/>
  <c r="A154" i="1"/>
  <c r="B123" i="1"/>
  <c r="F18" i="1"/>
  <c r="E18" i="1"/>
  <c r="D18" i="1"/>
  <c r="C18" i="1"/>
  <c r="B18" i="1"/>
  <c r="A18" i="1"/>
  <c r="F17" i="1"/>
  <c r="E17" i="1"/>
  <c r="D17" i="1"/>
  <c r="C17" i="1"/>
  <c r="B17" i="1"/>
  <c r="A17" i="1"/>
  <c r="A16" i="1"/>
  <c r="B16" i="1"/>
  <c r="C16" i="1"/>
  <c r="D16" i="1"/>
  <c r="E16" i="1"/>
  <c r="F16" i="1"/>
  <c r="A15" i="1"/>
  <c r="B15" i="1"/>
  <c r="C15" i="1"/>
  <c r="D15" i="1"/>
  <c r="E15" i="1"/>
  <c r="F15" i="1"/>
  <c r="A14" i="1"/>
  <c r="B14" i="1"/>
  <c r="C14" i="1"/>
  <c r="D14" i="1"/>
  <c r="E14" i="1"/>
  <c r="F14" i="1"/>
  <c r="A13" i="1"/>
  <c r="B13" i="1"/>
  <c r="C13" i="1"/>
  <c r="D13" i="1"/>
  <c r="E13" i="1"/>
  <c r="F13" i="1"/>
  <c r="A12" i="1"/>
  <c r="B12" i="1"/>
  <c r="C12" i="1"/>
  <c r="D12" i="1"/>
  <c r="E12" i="1"/>
  <c r="F12" i="1"/>
  <c r="A11" i="1"/>
  <c r="B11" i="1"/>
  <c r="C11" i="1"/>
  <c r="D11" i="1"/>
  <c r="E11" i="1"/>
  <c r="F11" i="1"/>
  <c r="A10" i="1"/>
  <c r="B10" i="1"/>
  <c r="C10" i="1"/>
  <c r="D10" i="1"/>
  <c r="E10" i="1"/>
  <c r="F10" i="1"/>
  <c r="B98" i="1"/>
  <c r="B99" i="1" s="1"/>
  <c r="B100" i="1" s="1"/>
  <c r="B101" i="1" s="1"/>
  <c r="B102" i="1" s="1"/>
  <c r="B103" i="1" s="1"/>
  <c r="B104" i="1" s="1"/>
  <c r="B105" i="1" s="1"/>
  <c r="B106" i="1" s="1"/>
  <c r="D69" i="1"/>
  <c r="E69" i="1"/>
  <c r="D70" i="1"/>
  <c r="E70" i="1"/>
  <c r="D72" i="1"/>
  <c r="E72" i="1"/>
  <c r="D73" i="1"/>
  <c r="E73" i="1"/>
  <c r="D75" i="1"/>
  <c r="E75" i="1"/>
  <c r="D76" i="1"/>
  <c r="E76" i="1"/>
  <c r="D78" i="1"/>
  <c r="E78" i="1"/>
  <c r="D79" i="1"/>
  <c r="E79" i="1"/>
  <c r="D81" i="1"/>
  <c r="E81" i="1"/>
  <c r="D82" i="1"/>
  <c r="E82" i="1"/>
  <c r="D84" i="1"/>
  <c r="E84" i="1"/>
  <c r="D85" i="1"/>
  <c r="E85" i="1"/>
  <c r="D87" i="1"/>
  <c r="E87" i="1"/>
  <c r="D88" i="1"/>
  <c r="E88" i="1"/>
  <c r="D90" i="1"/>
  <c r="E90" i="1"/>
  <c r="D91" i="1"/>
  <c r="E91" i="1"/>
  <c r="G85" i="1"/>
  <c r="F85" i="1"/>
  <c r="G84" i="1"/>
  <c r="F84" i="1"/>
  <c r="G88" i="1"/>
  <c r="F88" i="1"/>
  <c r="G87" i="1"/>
  <c r="F87" i="1"/>
  <c r="G91" i="1"/>
  <c r="F91" i="1"/>
  <c r="G90" i="1"/>
  <c r="F90" i="1"/>
  <c r="G82" i="1"/>
  <c r="F82" i="1"/>
  <c r="G81" i="1"/>
  <c r="F81" i="1"/>
  <c r="D19" i="1" l="1"/>
  <c r="D20" i="1" s="1"/>
  <c r="F19" i="1"/>
  <c r="F20" i="1" s="1"/>
  <c r="C13" i="2" s="1"/>
  <c r="E19" i="1"/>
  <c r="E20" i="1" s="1"/>
  <c r="C7" i="2" s="1"/>
  <c r="C102" i="1"/>
  <c r="B149" i="1" s="1"/>
  <c r="C149" i="1" s="1"/>
  <c r="D102" i="1"/>
  <c r="E101" i="1"/>
  <c r="D103" i="1"/>
  <c r="C101" i="1"/>
  <c r="B148" i="1" s="1"/>
  <c r="C148" i="1" s="1"/>
  <c r="E103" i="1"/>
  <c r="D101" i="1"/>
  <c r="E102" i="1"/>
  <c r="C104" i="1"/>
  <c r="B151" i="1" s="1"/>
  <c r="C151" i="1" s="1"/>
  <c r="C103" i="1"/>
  <c r="B150" i="1" s="1"/>
  <c r="C150" i="1" s="1"/>
  <c r="D104" i="1"/>
  <c r="G79" i="1"/>
  <c r="F79" i="1"/>
  <c r="G78" i="1"/>
  <c r="F78" i="1"/>
  <c r="G76" i="1"/>
  <c r="F76" i="1"/>
  <c r="G75" i="1"/>
  <c r="F75" i="1"/>
  <c r="G73" i="1"/>
  <c r="F73" i="1"/>
  <c r="G72" i="1"/>
  <c r="F72" i="1"/>
  <c r="G70" i="1"/>
  <c r="F70" i="1"/>
  <c r="G69" i="1"/>
  <c r="F69" i="1"/>
  <c r="C97" i="1"/>
  <c r="B144" i="1" s="1"/>
  <c r="B129" i="1" l="1"/>
  <c r="C129" i="1" s="1"/>
  <c r="C144" i="1"/>
  <c r="B130" i="1"/>
  <c r="C130" i="1" s="1"/>
  <c r="C131" i="1"/>
  <c r="B131" i="1"/>
  <c r="B128" i="1"/>
  <c r="C128" i="1" s="1"/>
  <c r="C98" i="1"/>
  <c r="B145" i="1" s="1"/>
  <c r="C145" i="1" s="1"/>
  <c r="E98" i="1"/>
  <c r="D98" i="1"/>
  <c r="D99" i="1"/>
  <c r="C99" i="1"/>
  <c r="B146" i="1" s="1"/>
  <c r="C146" i="1" s="1"/>
  <c r="E99" i="1"/>
  <c r="E100" i="1"/>
  <c r="D100" i="1"/>
  <c r="B127" i="1" s="1"/>
  <c r="C100" i="1"/>
  <c r="E97" i="1"/>
  <c r="D97" i="1"/>
  <c r="B126" i="1" l="1"/>
  <c r="C126" i="1" s="1"/>
  <c r="B124" i="1"/>
  <c r="C124" i="1" s="1"/>
  <c r="B125" i="1"/>
  <c r="C125" i="1" s="1"/>
  <c r="C105" i="1"/>
  <c r="B147" i="1"/>
  <c r="D105" i="1"/>
  <c r="B132" i="1" s="1"/>
  <c r="C127" i="1"/>
  <c r="D106" i="1"/>
  <c r="B133" i="1" s="1"/>
  <c r="C107" i="1"/>
  <c r="E10" i="2" s="1"/>
  <c r="E7" i="2"/>
  <c r="C147" i="1" l="1"/>
  <c r="C106" i="1"/>
  <c r="B153" i="1" s="1"/>
  <c r="C153" i="1" s="1"/>
  <c r="B152" i="1"/>
  <c r="C132" i="1"/>
  <c r="C133" i="1"/>
  <c r="B154" i="1" l="1"/>
  <c r="C152" i="1"/>
  <c r="B134" i="1"/>
  <c r="C134" i="1"/>
  <c r="C154" i="1" l="1"/>
  <c r="D128" i="1"/>
  <c r="D124" i="1"/>
  <c r="D126" i="1"/>
  <c r="D129" i="1"/>
  <c r="D131" i="1"/>
  <c r="D125" i="1"/>
  <c r="D127" i="1"/>
  <c r="D130" i="1"/>
  <c r="D132" i="1"/>
  <c r="D150" i="1" l="1"/>
  <c r="E150" i="1" s="1"/>
  <c r="D148" i="1"/>
  <c r="E148" i="1" s="1"/>
  <c r="D149" i="1"/>
  <c r="E149" i="1" s="1"/>
  <c r="D151" i="1"/>
  <c r="E151" i="1" s="1"/>
  <c r="D146" i="1"/>
  <c r="E146" i="1" s="1"/>
  <c r="D145" i="1"/>
  <c r="E145" i="1" s="1"/>
  <c r="D144" i="1"/>
  <c r="E144" i="1" s="1"/>
  <c r="D153" i="1"/>
  <c r="E153" i="1" s="1"/>
  <c r="D147" i="1"/>
  <c r="E147" i="1" s="1"/>
  <c r="D152" i="1"/>
  <c r="E152" i="1" s="1"/>
  <c r="E128" i="1"/>
  <c r="G128" i="1" s="1"/>
  <c r="E125" i="1"/>
  <c r="G125" i="1" s="1"/>
  <c r="E130" i="1"/>
  <c r="G130" i="1" s="1"/>
  <c r="E133" i="1"/>
  <c r="E132" i="1"/>
  <c r="G132" i="1" s="1"/>
  <c r="E131" i="1"/>
  <c r="E129" i="1"/>
  <c r="E127" i="1"/>
  <c r="E126" i="1"/>
  <c r="G126" i="1" s="1"/>
  <c r="G129" i="1"/>
  <c r="D134" i="1"/>
  <c r="D154" i="1" s="1"/>
  <c r="G131" i="1"/>
  <c r="F153" i="1" l="1"/>
  <c r="G153" i="1"/>
  <c r="G151" i="1"/>
  <c r="F151" i="1"/>
  <c r="G144" i="1"/>
  <c r="F144" i="1"/>
  <c r="F149" i="1"/>
  <c r="G149" i="1"/>
  <c r="G152" i="1"/>
  <c r="F152" i="1"/>
  <c r="F145" i="1"/>
  <c r="G145" i="1"/>
  <c r="G148" i="1"/>
  <c r="F148" i="1"/>
  <c r="G147" i="1"/>
  <c r="F147" i="1"/>
  <c r="F146" i="1"/>
  <c r="G146" i="1"/>
  <c r="F150" i="1"/>
  <c r="G150" i="1"/>
  <c r="F127" i="1"/>
  <c r="F131" i="1"/>
  <c r="F125" i="1"/>
  <c r="G127" i="1"/>
  <c r="G133" i="1"/>
  <c r="F126" i="1"/>
  <c r="F129" i="1"/>
  <c r="F132" i="1"/>
  <c r="F130" i="1"/>
  <c r="F128" i="1"/>
  <c r="E134" i="1"/>
  <c r="E154" i="1" s="1"/>
  <c r="G124" i="1"/>
  <c r="G154" i="1" l="1"/>
</calcChain>
</file>

<file path=xl/sharedStrings.xml><?xml version="1.0" encoding="utf-8"?>
<sst xmlns="http://schemas.openxmlformats.org/spreadsheetml/2006/main" count="172" uniqueCount="95">
  <si>
    <t>ROG</t>
  </si>
  <si>
    <t>NOx</t>
  </si>
  <si>
    <t>Class</t>
  </si>
  <si>
    <t>Total No. Vehicles</t>
  </si>
  <si>
    <t>Inventory Yr'</t>
  </si>
  <si>
    <t>Gas+Diesel LDA, LDT1, LDT2 vehicle</t>
  </si>
  <si>
    <t>Total VMT Mi/Day</t>
  </si>
  <si>
    <t>VMT/veh/Day</t>
  </si>
  <si>
    <t>NOx (tons/day)</t>
  </si>
  <si>
    <t>ROG Reduction lbs/retired veh/yr</t>
  </si>
  <si>
    <t>PM10 Reduction lbs/retired veh/yr</t>
  </si>
  <si>
    <t>NOx Reduction lbs/retired veh/yr</t>
  </si>
  <si>
    <t>Pre1994</t>
  </si>
  <si>
    <t>ROG lbs /VMT</t>
  </si>
  <si>
    <t>NOx lbs /VMT</t>
  </si>
  <si>
    <t>PM10 lbs /VMT</t>
  </si>
  <si>
    <t>PM</t>
  </si>
  <si>
    <t xml:space="preserve">Emission Reduction and Cost Data Documentation Voluntary Old Car Retirement </t>
  </si>
  <si>
    <t>All</t>
  </si>
  <si>
    <t>Pre 1997</t>
  </si>
  <si>
    <t>Pre 2000</t>
  </si>
  <si>
    <t>Pre 2003</t>
  </si>
  <si>
    <t>Pre 2006</t>
  </si>
  <si>
    <t>Pre 2009</t>
  </si>
  <si>
    <t>Pre 2012</t>
  </si>
  <si>
    <t>Pre 2015</t>
  </si>
  <si>
    <t>Year 2013 retire pre 1994</t>
  </si>
  <si>
    <t>Year 2016 retire pre 1997</t>
  </si>
  <si>
    <t>Year 2019 retire pre 2000</t>
  </si>
  <si>
    <t>Year 2022 retire pre 2003</t>
  </si>
  <si>
    <t>Year 2025 retire pre 2006</t>
  </si>
  <si>
    <t>Year 2028 retire pre 2009</t>
  </si>
  <si>
    <t>Year 2031 retire pre 2012</t>
  </si>
  <si>
    <t>Year 2034 retire pre 2015</t>
  </si>
  <si>
    <t>Project Name</t>
  </si>
  <si>
    <t>Incentive Funding</t>
  </si>
  <si>
    <t>District Cost/Project</t>
  </si>
  <si>
    <t>Project Life</t>
  </si>
  <si>
    <t>Voluntary Auto Retirement</t>
  </si>
  <si>
    <t>Year 2037 retire pre 2018</t>
  </si>
  <si>
    <t>Year 2040 retire pre 2021</t>
  </si>
  <si>
    <t>NA</t>
  </si>
  <si>
    <t>EMFAC2011 does not estimate emission past 2035, so data for 2037 and 2040 were estimated by interpolation.</t>
  </si>
  <si>
    <t>EMFAC2011 shows no PM reductions 2034 and later.</t>
  </si>
  <si>
    <t>Vehicle Model Yr</t>
  </si>
  <si>
    <t>Vehicle Class</t>
  </si>
  <si>
    <t>Total Emission Inventory</t>
  </si>
  <si>
    <t>Because cars are less polluting over time, the emission inventory decreases over time. The average emission inventory was</t>
  </si>
  <si>
    <t>calculated by averaging the average annual daily inventory using the data below:</t>
  </si>
  <si>
    <t>Santa Barbara County On-Road Inventory Data</t>
  </si>
  <si>
    <t>Average Daily Emissions</t>
  </si>
  <si>
    <t>Average Annual Emissions</t>
  </si>
  <si>
    <t>$1,000 payment per retired vehicle</t>
  </si>
  <si>
    <t>These data we taken from EMFAC2011 model runs for the vehicle class, model year, and inventory years as indicated.</t>
  </si>
  <si>
    <t>Reductions Per Average Project (auto retirement)</t>
  </si>
  <si>
    <t>Santa Barbara County On-Road Emissions and Vehicle Data</t>
  </si>
  <si>
    <t xml:space="preserve">By statute the default project life for the generation of ERCs from voluntary auto retirement is three years (13 CCR Appendix D).  </t>
  </si>
  <si>
    <t xml:space="preserve">So reductions for each three year cycle were calculated.  First EMFAC was run for each three cycle for LDA, LDT1, LDT2 covering </t>
  </si>
  <si>
    <t>all model years and then again for model year 20 years and older.  These results are give below.</t>
  </si>
  <si>
    <t xml:space="preserve"> indicated below. </t>
  </si>
  <si>
    <t>ROG Exhaust (tons/day)</t>
  </si>
  <si>
    <t>PM10 Exhaust (tons/day)</t>
  </si>
  <si>
    <t>Per vehicle VMT emission rates where then calculated for the average vehicle and for the average vehicle 20 years and older as</t>
  </si>
  <si>
    <t>and the average emission rate for vehicles 20 years and older by the old car VMT per year.  These results are given below.</t>
  </si>
  <si>
    <t>Cycle</t>
  </si>
  <si>
    <t>Inventory Yr</t>
  </si>
  <si>
    <t>Avg Reduction per year over 30 years</t>
  </si>
  <si>
    <t>Total Emissions Inventory (tons/year)</t>
  </si>
  <si>
    <t>ERC Cost Effectiveness</t>
  </si>
  <si>
    <t>For ERCs a 30 years reductions are needed.  In the first year (2013) there are 21,995 LDA, LDT1, and LDT2 vehicles 20</t>
  </si>
  <si>
    <t>So the total potential population of vehicles 20 years and older is 22,000 vehicles (2013) plus 6,800 additional each 3 year</t>
  </si>
  <si>
    <t>for a total of 22,0000 + 9 X 6,800 or 83,200 vehicles.</t>
  </si>
  <si>
    <t>Total</t>
  </si>
  <si>
    <t># to gen one ton</t>
  </si>
  <si>
    <t>% of total to gen one ton</t>
  </si>
  <si>
    <t>NOx Reduced tons per year</t>
  </si>
  <si>
    <t>No Vehicle retired to gen max tons over 30 years</t>
  </si>
  <si>
    <t>Cost at $1,000 per in $1,000s</t>
  </si>
  <si>
    <t>each year.  To accomplish this we used the relative emission reductions per cycle as indicated below.</t>
  </si>
  <si>
    <t xml:space="preserve">Note that if the program was confined to say 15 years rather than 30 it would be far more cost effective.  </t>
  </si>
  <si>
    <t xml:space="preserve">If we focus on ROG the maximum annual reductions would be:  </t>
  </si>
  <si>
    <t>And the ROG cost effectiveness would be $83,200,000 / 10.7 tons or $7,775,7001 per ton</t>
  </si>
  <si>
    <t>emission vehicles.  The inventory and reductions are averages over a 30 year period.</t>
  </si>
  <si>
    <t>Incentive funding per vehicle is based on historic funding amounts ($1,000/vehicle), but could be higher or lower.</t>
  </si>
  <si>
    <t>ERC Project Assessment Documentation:  Voluntary Old Car Retirement</t>
  </si>
  <si>
    <t>Reductions were then calculated by multiplying the difference between the average emission rate for all vehicles</t>
  </si>
  <si>
    <t>years and older.  Each subsequent thee year cycle approximately 6,800 additional vehicles become 20 years and older.</t>
  </si>
  <si>
    <t>The question is how to apportion these vehicles over the 30 year period so roughly the same amount of pollution is reduced</t>
  </si>
  <si>
    <t>ERC NOx Cost Effectiveness is therefore:  $83,200,000/32.8 tons reduced or $2,536,585 per ton.</t>
  </si>
  <si>
    <t>PM cost effectiveness could not be calculated because EMFAC does not show PM reductions past 2031.</t>
  </si>
  <si>
    <t>ERC Cost Effectiveness ($1,000's/Ton)</t>
  </si>
  <si>
    <t>Reductions Per Avg Project  (lbs/yr)</t>
  </si>
  <si>
    <t>Notes:</t>
  </si>
  <si>
    <t>-  EMFAC2011 shows no PM reductions in later years.</t>
  </si>
  <si>
    <t>-  The inventory for on-road decreases over time as cleaner, lower emission vehicles replace older, higher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</si>
</sst>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164" formatCode="&quot;$&quot;#,##0"/>
    <numFmt numFmtId="165" formatCode="0.0"/>
    <numFmt numFmtId="166" formatCode="#,##0.0"/>
    <numFmt numFmtId="167" formatCode="&quot;$&quot;#,##0.00"/>
    <numFmt numFmtId="168" formatCode="#,##0.000"/>
    <numFmt numFmtId="169" formatCode="0.000"/>
    <numFmt numFmtId="170" formatCode="0.0000"/>
    <numFmt numFmtId="171" formatCode="0.000%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i/>
      <u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0" fillId="0" borderId="0" xfId="0"/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66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167" fontId="0" fillId="0" borderId="0" xfId="0" applyNumberFormat="1"/>
    <xf numFmtId="168" fontId="0" fillId="0" borderId="0" xfId="0" applyNumberFormat="1"/>
    <xf numFmtId="0" fontId="16" fillId="0" borderId="0" xfId="0" applyFont="1"/>
    <xf numFmtId="0" fontId="0" fillId="0" borderId="0" xfId="0" applyAlignment="1">
      <alignment vertical="center" wrapText="1"/>
    </xf>
    <xf numFmtId="0" fontId="0" fillId="0" borderId="10" xfId="0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16" fillId="0" borderId="0" xfId="0" applyFont="1" applyFill="1" applyBorder="1" applyAlignment="1">
      <alignment vertical="center"/>
    </xf>
    <xf numFmtId="2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right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169" fontId="0" fillId="0" borderId="10" xfId="0" applyNumberFormat="1" applyBorder="1" applyAlignment="1">
      <alignment vertical="center" wrapText="1"/>
    </xf>
    <xf numFmtId="0" fontId="0" fillId="0" borderId="10" xfId="0" applyBorder="1"/>
    <xf numFmtId="169" fontId="0" fillId="0" borderId="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3" borderId="10" xfId="0" applyFill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0" fontId="18" fillId="0" borderId="0" xfId="0" applyFont="1"/>
    <xf numFmtId="1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0" xfId="0"/>
    <xf numFmtId="0" fontId="0" fillId="0" borderId="0" xfId="0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65" fontId="16" fillId="0" borderId="10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16" fillId="0" borderId="10" xfId="0" applyFont="1" applyBorder="1"/>
    <xf numFmtId="165" fontId="0" fillId="0" borderId="10" xfId="0" applyNumberFormat="1" applyBorder="1"/>
    <xf numFmtId="2" fontId="0" fillId="0" borderId="10" xfId="0" applyNumberFormat="1" applyBorder="1"/>
    <xf numFmtId="2" fontId="0" fillId="0" borderId="10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70" fontId="0" fillId="0" borderId="10" xfId="0" applyNumberForma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16" fillId="0" borderId="10" xfId="0" applyFont="1" applyBorder="1" applyAlignment="1">
      <alignment wrapText="1"/>
    </xf>
    <xf numFmtId="0" fontId="0" fillId="0" borderId="10" xfId="0" applyFill="1" applyBorder="1" applyAlignment="1">
      <alignment wrapText="1"/>
    </xf>
    <xf numFmtId="165" fontId="0" fillId="0" borderId="10" xfId="0" applyNumberFormat="1" applyBorder="1" applyAlignment="1">
      <alignment wrapText="1"/>
    </xf>
    <xf numFmtId="3" fontId="0" fillId="0" borderId="10" xfId="0" applyNumberFormat="1" applyBorder="1"/>
    <xf numFmtId="171" fontId="0" fillId="0" borderId="10" xfId="0" applyNumberFormat="1" applyBorder="1"/>
    <xf numFmtId="164" fontId="0" fillId="0" borderId="10" xfId="0" applyNumberFormat="1" applyBorder="1"/>
    <xf numFmtId="9" fontId="0" fillId="0" borderId="10" xfId="0" applyNumberFormat="1" applyBorder="1"/>
    <xf numFmtId="164" fontId="0" fillId="0" borderId="0" xfId="0" applyNumberFormat="1" applyAlignment="1">
      <alignment wrapText="1"/>
    </xf>
    <xf numFmtId="3" fontId="0" fillId="0" borderId="10" xfId="0" applyNumberFormat="1" applyBorder="1" applyAlignment="1">
      <alignment horizontal="right" wrapText="1"/>
    </xf>
    <xf numFmtId="0" fontId="16" fillId="0" borderId="10" xfId="0" applyFont="1" applyBorder="1" applyAlignment="1">
      <alignment horizontal="right" wrapText="1"/>
    </xf>
    <xf numFmtId="6" fontId="0" fillId="0" borderId="10" xfId="0" applyNumberForma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5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16" fillId="0" borderId="10" xfId="0" applyFont="1" applyBorder="1" applyAlignment="1">
      <alignment horizontal="center" wrapText="1"/>
    </xf>
    <xf numFmtId="0" fontId="0" fillId="0" borderId="0" xfId="0" quotePrefix="1"/>
    <xf numFmtId="0" fontId="20" fillId="0" borderId="0" xfId="0" applyFont="1" applyAlignment="1">
      <alignment horizontal="right" vertical="center" wrapText="1"/>
    </xf>
    <xf numFmtId="1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N8" sqref="N8"/>
    </sheetView>
  </sheetViews>
  <sheetFormatPr defaultRowHeight="12.75" x14ac:dyDescent="0.2"/>
  <cols>
    <col min="1" max="1" width="16.28515625" customWidth="1"/>
    <col min="2" max="2" width="18" customWidth="1"/>
    <col min="3" max="3" width="15.28515625" customWidth="1"/>
    <col min="4" max="4" width="15.5703125" customWidth="1"/>
    <col min="5" max="5" width="16.28515625" customWidth="1"/>
    <col min="6" max="6" width="15.28515625" customWidth="1"/>
    <col min="7" max="7" width="11.85546875" customWidth="1"/>
  </cols>
  <sheetData>
    <row r="1" spans="1:7" ht="18.75" x14ac:dyDescent="0.2">
      <c r="A1" s="62" t="s">
        <v>84</v>
      </c>
    </row>
    <row r="2" spans="1:7" x14ac:dyDescent="0.2">
      <c r="G2" s="69">
        <v>41604</v>
      </c>
    </row>
    <row r="4" spans="1:7" x14ac:dyDescent="0.2">
      <c r="B4" s="15"/>
      <c r="C4" s="15"/>
      <c r="D4" s="15"/>
      <c r="E4" s="15"/>
      <c r="F4" s="15"/>
      <c r="G4" s="15"/>
    </row>
    <row r="5" spans="1:7" ht="38.25" x14ac:dyDescent="0.2">
      <c r="A5" s="49" t="s">
        <v>34</v>
      </c>
      <c r="B5" s="66" t="s">
        <v>90</v>
      </c>
      <c r="C5" s="66" t="s">
        <v>67</v>
      </c>
      <c r="D5" s="66" t="s">
        <v>35</v>
      </c>
      <c r="E5" s="66" t="s">
        <v>91</v>
      </c>
      <c r="F5" s="66" t="s">
        <v>36</v>
      </c>
      <c r="G5" s="66" t="s">
        <v>37</v>
      </c>
    </row>
    <row r="6" spans="1:7" s="33" customFormat="1" x14ac:dyDescent="0.2">
      <c r="A6" s="25" t="s">
        <v>1</v>
      </c>
      <c r="B6" s="58"/>
      <c r="C6" s="58"/>
      <c r="D6" s="58"/>
      <c r="E6" s="58"/>
      <c r="F6" s="58"/>
      <c r="G6" s="58"/>
    </row>
    <row r="7" spans="1:7" ht="25.5" x14ac:dyDescent="0.2">
      <c r="A7" s="27" t="s">
        <v>38</v>
      </c>
      <c r="B7" s="59">
        <v>2537</v>
      </c>
      <c r="C7" s="63">
        <f>Documentation!$E$20</f>
        <v>290.46483297784454</v>
      </c>
      <c r="D7" s="27" t="s">
        <v>52</v>
      </c>
      <c r="E7" s="60">
        <f>Documentation!$D$107</f>
        <v>24.761619333264743</v>
      </c>
      <c r="F7" s="59">
        <v>1000</v>
      </c>
      <c r="G7" s="27">
        <v>3</v>
      </c>
    </row>
    <row r="8" spans="1:7" s="33" customFormat="1" x14ac:dyDescent="0.2">
      <c r="A8" s="27"/>
      <c r="B8" s="59"/>
      <c r="C8" s="63"/>
      <c r="D8" s="27"/>
      <c r="E8" s="60"/>
      <c r="F8" s="59"/>
      <c r="G8" s="27"/>
    </row>
    <row r="9" spans="1:7" s="33" customFormat="1" x14ac:dyDescent="0.2">
      <c r="A9" s="64" t="s">
        <v>0</v>
      </c>
      <c r="B9" s="59"/>
      <c r="C9" s="63"/>
      <c r="D9" s="27"/>
      <c r="E9" s="60"/>
      <c r="F9" s="59"/>
      <c r="G9" s="27"/>
    </row>
    <row r="10" spans="1:7" ht="25.5" x14ac:dyDescent="0.2">
      <c r="A10" s="27" t="s">
        <v>38</v>
      </c>
      <c r="B10" s="59">
        <v>7776</v>
      </c>
      <c r="C10" s="60">
        <f>Documentation!$D$20</f>
        <v>131.50742520089216</v>
      </c>
      <c r="D10" s="27" t="s">
        <v>52</v>
      </c>
      <c r="E10" s="60">
        <f>Documentation!$C$107</f>
        <v>11.513746598463092</v>
      </c>
      <c r="F10" s="59">
        <v>1000</v>
      </c>
      <c r="G10" s="27">
        <v>3</v>
      </c>
    </row>
    <row r="11" spans="1:7" s="33" customFormat="1" x14ac:dyDescent="0.2">
      <c r="A11" s="27"/>
      <c r="B11" s="59"/>
      <c r="C11" s="60"/>
      <c r="D11" s="27"/>
      <c r="E11" s="60"/>
      <c r="F11" s="59"/>
      <c r="G11" s="27"/>
    </row>
    <row r="12" spans="1:7" s="33" customFormat="1" x14ac:dyDescent="0.2">
      <c r="A12" s="64" t="s">
        <v>16</v>
      </c>
      <c r="B12" s="59"/>
      <c r="C12" s="60"/>
      <c r="D12" s="27"/>
      <c r="E12" s="60"/>
      <c r="F12" s="59"/>
      <c r="G12" s="27"/>
    </row>
    <row r="13" spans="1:7" ht="25.5" x14ac:dyDescent="0.2">
      <c r="A13" s="27" t="s">
        <v>38</v>
      </c>
      <c r="B13" s="65" t="s">
        <v>41</v>
      </c>
      <c r="C13" s="63">
        <f>Documentation!$F$20</f>
        <v>2.5069961584924148</v>
      </c>
      <c r="D13" s="27" t="s">
        <v>52</v>
      </c>
      <c r="E13" s="61" t="s">
        <v>41</v>
      </c>
      <c r="F13" s="59">
        <v>1000</v>
      </c>
      <c r="G13" s="27">
        <v>3</v>
      </c>
    </row>
    <row r="15" spans="1:7" x14ac:dyDescent="0.2">
      <c r="A15" s="68" t="s">
        <v>92</v>
      </c>
      <c r="B15" s="67" t="s">
        <v>94</v>
      </c>
    </row>
    <row r="16" spans="1:7" x14ac:dyDescent="0.2">
      <c r="B16" t="s">
        <v>82</v>
      </c>
    </row>
    <row r="18" spans="2:2" x14ac:dyDescent="0.2">
      <c r="B18" s="67" t="s">
        <v>93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0"/>
  <sheetViews>
    <sheetView workbookViewId="0">
      <selection activeCell="H101" sqref="H101"/>
    </sheetView>
  </sheetViews>
  <sheetFormatPr defaultRowHeight="12.75" x14ac:dyDescent="0.2"/>
  <cols>
    <col min="1" max="1" width="26.7109375" style="1" customWidth="1"/>
    <col min="2" max="2" width="9.140625" style="1"/>
    <col min="4" max="4" width="12.28515625" style="1" customWidth="1"/>
    <col min="5" max="5" width="12.85546875" style="1" customWidth="1"/>
    <col min="6" max="6" width="12.28515625" style="1" customWidth="1"/>
    <col min="7" max="8" width="12.5703125" customWidth="1"/>
    <col min="9" max="9" width="12.7109375" bestFit="1" customWidth="1"/>
    <col min="11" max="11" width="10.140625" bestFit="1" customWidth="1"/>
    <col min="12" max="12" width="10.28515625" customWidth="1"/>
    <col min="13" max="13" width="15.85546875" customWidth="1"/>
    <col min="14" max="14" width="10.140625" bestFit="1" customWidth="1"/>
    <col min="16" max="16" width="11.85546875" customWidth="1"/>
  </cols>
  <sheetData>
    <row r="1" spans="1:6" ht="15.75" x14ac:dyDescent="0.25">
      <c r="A1" s="30" t="s">
        <v>17</v>
      </c>
    </row>
    <row r="3" spans="1:6" s="15" customFormat="1" x14ac:dyDescent="0.2">
      <c r="A3" s="12" t="s">
        <v>46</v>
      </c>
    </row>
    <row r="4" spans="1:6" s="15" customFormat="1" x14ac:dyDescent="0.2"/>
    <row r="5" spans="1:6" s="15" customFormat="1" x14ac:dyDescent="0.2">
      <c r="A5" s="15" t="s">
        <v>47</v>
      </c>
    </row>
    <row r="6" spans="1:6" s="15" customFormat="1" x14ac:dyDescent="0.2">
      <c r="A6" s="15" t="s">
        <v>48</v>
      </c>
    </row>
    <row r="7" spans="1:6" s="15" customFormat="1" x14ac:dyDescent="0.2"/>
    <row r="8" spans="1:6" s="15" customFormat="1" x14ac:dyDescent="0.2">
      <c r="A8" s="17" t="s">
        <v>49</v>
      </c>
    </row>
    <row r="10" spans="1:6" s="16" customFormat="1" ht="38.25" x14ac:dyDescent="0.2">
      <c r="A10" s="14" t="str">
        <f>Documentation!A37</f>
        <v>Class</v>
      </c>
      <c r="B10" s="14" t="str">
        <f>Documentation!B36</f>
        <v>Vehicle Model Yr</v>
      </c>
      <c r="C10" s="20" t="str">
        <f>Documentation!C36</f>
        <v>Inventory Yr'</v>
      </c>
      <c r="D10" s="20" t="str">
        <f>Documentation!F36</f>
        <v>ROG Exhaust (tons/day)</v>
      </c>
      <c r="E10" s="20" t="str">
        <f>Documentation!G36</f>
        <v>NOx (tons/day)</v>
      </c>
      <c r="F10" s="20" t="str">
        <f>Documentation!H36</f>
        <v>PM10 Exhaust (tons/day)</v>
      </c>
    </row>
    <row r="11" spans="1:6" s="13" customFormat="1" ht="25.5" x14ac:dyDescent="0.2">
      <c r="A11" s="27" t="str">
        <f>Documentation!A39</f>
        <v>Gas+Diesel LDA, LDT1, LDT2 vehicle</v>
      </c>
      <c r="B11" s="27" t="str">
        <f>Documentation!B39</f>
        <v>Pre1994</v>
      </c>
      <c r="C11" s="27">
        <f>Documentation!C39</f>
        <v>2013</v>
      </c>
      <c r="D11" s="19">
        <f>Documentation!F39</f>
        <v>1.056170512</v>
      </c>
      <c r="E11" s="19">
        <f>Documentation!G39</f>
        <v>1.8095283</v>
      </c>
      <c r="F11" s="24">
        <f>Documentation!H39</f>
        <v>1.7403803999999998E-2</v>
      </c>
    </row>
    <row r="12" spans="1:6" s="13" customFormat="1" ht="25.5" x14ac:dyDescent="0.2">
      <c r="A12" s="27" t="str">
        <f>Documentation!A42</f>
        <v>Gas+Diesel LDA, LDT1, LDT2 vehicle</v>
      </c>
      <c r="B12" s="27" t="str">
        <f>Documentation!B42</f>
        <v>Pre 1997</v>
      </c>
      <c r="C12" s="27">
        <f>Documentation!C42</f>
        <v>2016</v>
      </c>
      <c r="D12" s="19">
        <f>Documentation!F42</f>
        <v>0.68290149210560902</v>
      </c>
      <c r="E12" s="19">
        <f>Documentation!G42</f>
        <v>1.34328035672421</v>
      </c>
      <c r="F12" s="24">
        <f>Documentation!H42</f>
        <v>1.25112318199707E-2</v>
      </c>
    </row>
    <row r="13" spans="1:6" s="13" customFormat="1" ht="25.5" x14ac:dyDescent="0.2">
      <c r="A13" s="27" t="str">
        <f>Documentation!A45</f>
        <v>Gas+Diesel LDA, LDT1, LDT2 vehicle</v>
      </c>
      <c r="B13" s="27" t="str">
        <f>Documentation!B45</f>
        <v>Pre 2000</v>
      </c>
      <c r="C13" s="27">
        <f>Documentation!C45</f>
        <v>2019</v>
      </c>
      <c r="D13" s="19">
        <f>Documentation!F45</f>
        <v>0.394333942145002</v>
      </c>
      <c r="E13" s="19">
        <f>Documentation!G45</f>
        <v>0.97060602132741103</v>
      </c>
      <c r="F13" s="24">
        <f>Documentation!H45</f>
        <v>8.33705687166106E-3</v>
      </c>
    </row>
    <row r="14" spans="1:6" s="13" customFormat="1" ht="25.5" x14ac:dyDescent="0.2">
      <c r="A14" s="27" t="str">
        <f>Documentation!A48</f>
        <v>Gas+Diesel LDA, LDT1, LDT2 vehicle</v>
      </c>
      <c r="B14" s="27" t="str">
        <f>Documentation!B48</f>
        <v>Pre 2003</v>
      </c>
      <c r="C14" s="27">
        <f>Documentation!C48</f>
        <v>2022</v>
      </c>
      <c r="D14" s="19">
        <f>Documentation!F48</f>
        <v>0.25208033934406288</v>
      </c>
      <c r="E14" s="19">
        <f>Documentation!G48</f>
        <v>0.73775764966443003</v>
      </c>
      <c r="F14" s="24">
        <f>Documentation!H48</f>
        <v>5.61767013683052E-3</v>
      </c>
    </row>
    <row r="15" spans="1:6" s="13" customFormat="1" ht="25.5" x14ac:dyDescent="0.2">
      <c r="A15" s="27" t="str">
        <f>Documentation!A51</f>
        <v>Gas+Diesel LDA, LDT1, LDT2 vehicle</v>
      </c>
      <c r="B15" s="27" t="str">
        <f>Documentation!B51</f>
        <v>Pre 2006</v>
      </c>
      <c r="C15" s="27">
        <f>Documentation!C51</f>
        <v>2025</v>
      </c>
      <c r="D15" s="19">
        <f>Documentation!F51</f>
        <v>0.19812907897300694</v>
      </c>
      <c r="E15" s="19">
        <f>Documentation!G51</f>
        <v>0.58106048510143482</v>
      </c>
      <c r="F15" s="24">
        <f>Documentation!H51</f>
        <v>4.4035234247789302E-3</v>
      </c>
    </row>
    <row r="16" spans="1:6" s="13" customFormat="1" ht="25.5" x14ac:dyDescent="0.2">
      <c r="A16" s="27" t="str">
        <f>Documentation!A54</f>
        <v>Gas+Diesel LDA, LDT1, LDT2 vehicle</v>
      </c>
      <c r="B16" s="27" t="str">
        <f>Documentation!B54</f>
        <v>Pre 2009</v>
      </c>
      <c r="C16" s="27">
        <f>Documentation!C54</f>
        <v>2028</v>
      </c>
      <c r="D16" s="19">
        <f>Documentation!F54</f>
        <v>0.13970934780098801</v>
      </c>
      <c r="E16" s="19">
        <f>Documentation!G54</f>
        <v>0.422255653552079</v>
      </c>
      <c r="F16" s="24">
        <f>Documentation!H54</f>
        <v>3.0516042786687702E-3</v>
      </c>
    </row>
    <row r="17" spans="1:8" s="13" customFormat="1" ht="25.5" x14ac:dyDescent="0.2">
      <c r="A17" s="27" t="str">
        <f>Documentation!A57</f>
        <v>Gas+Diesel LDA, LDT1, LDT2 vehicle</v>
      </c>
      <c r="B17" s="27" t="str">
        <f>Documentation!B57</f>
        <v>Pre 2012</v>
      </c>
      <c r="C17" s="27">
        <f>Documentation!C57</f>
        <v>2031</v>
      </c>
      <c r="D17" s="19">
        <f>Documentation!F57</f>
        <v>9.5377289363756904E-2</v>
      </c>
      <c r="E17" s="19">
        <f>Documentation!G57</f>
        <v>0.29590454071309924</v>
      </c>
      <c r="F17" s="24">
        <f>Documentation!H57</f>
        <v>2.0821591400156602E-3</v>
      </c>
    </row>
    <row r="18" spans="1:8" s="13" customFormat="1" ht="25.5" x14ac:dyDescent="0.2">
      <c r="A18" s="27" t="str">
        <f>Documentation!A60</f>
        <v>Gas+Diesel LDA, LDT1, LDT2 vehicle</v>
      </c>
      <c r="B18" s="27" t="str">
        <f>Documentation!B60</f>
        <v>Pre 2015</v>
      </c>
      <c r="C18" s="27">
        <f>Documentation!C60</f>
        <v>2034</v>
      </c>
      <c r="D18" s="19">
        <f>Documentation!F60</f>
        <v>6.3652523218635307E-2</v>
      </c>
      <c r="E18" s="19">
        <f>Documentation!G60</f>
        <v>0.205959496541326</v>
      </c>
      <c r="F18" s="24">
        <f>Documentation!H60</f>
        <v>1.5408113361272985E-3</v>
      </c>
    </row>
    <row r="19" spans="1:8" s="13" customFormat="1" x14ac:dyDescent="0.2">
      <c r="A19" s="27" t="s">
        <v>50</v>
      </c>
      <c r="B19" s="27"/>
      <c r="C19" s="27"/>
      <c r="D19" s="19">
        <f>AVERAGE(D11:D18)</f>
        <v>0.36029431561888264</v>
      </c>
      <c r="E19" s="19">
        <f>AVERAGE(E11:E18)</f>
        <v>0.7957940629529987</v>
      </c>
      <c r="F19" s="19">
        <f>AVERAGE(F11:F18)</f>
        <v>6.8684826260066159E-3</v>
      </c>
    </row>
    <row r="20" spans="1:8" s="13" customFormat="1" x14ac:dyDescent="0.2">
      <c r="A20" s="35" t="s">
        <v>51</v>
      </c>
      <c r="B20" s="35"/>
      <c r="C20" s="35"/>
      <c r="D20" s="36">
        <f>D19*365</f>
        <v>131.50742520089216</v>
      </c>
      <c r="E20" s="36">
        <f>E19*365</f>
        <v>290.46483297784454</v>
      </c>
      <c r="F20" s="36">
        <f>F19*365</f>
        <v>2.5069961584924148</v>
      </c>
    </row>
    <row r="21" spans="1:8" s="13" customFormat="1" x14ac:dyDescent="0.2"/>
    <row r="22" spans="1:8" s="13" customFormat="1" x14ac:dyDescent="0.2">
      <c r="A22" s="34" t="s">
        <v>53</v>
      </c>
      <c r="B22" s="22"/>
      <c r="C22" s="22"/>
      <c r="D22" s="23"/>
      <c r="E22" s="23"/>
      <c r="F22" s="26"/>
      <c r="G22" s="26"/>
      <c r="H22" s="26"/>
    </row>
    <row r="23" spans="1:8" s="13" customFormat="1" x14ac:dyDescent="0.2">
      <c r="A23" s="34"/>
      <c r="B23" s="22"/>
      <c r="C23" s="22"/>
      <c r="D23" s="23"/>
      <c r="E23" s="23"/>
      <c r="F23" s="26"/>
      <c r="G23" s="26"/>
      <c r="H23" s="26"/>
    </row>
    <row r="24" spans="1:8" s="13" customFormat="1" x14ac:dyDescent="0.2">
      <c r="A24" s="37" t="s">
        <v>35</v>
      </c>
      <c r="B24" s="22"/>
      <c r="C24" s="22"/>
      <c r="D24" s="23"/>
      <c r="E24" s="23"/>
      <c r="F24" s="26"/>
      <c r="G24" s="26"/>
      <c r="H24" s="26"/>
    </row>
    <row r="25" spans="1:8" s="13" customFormat="1" x14ac:dyDescent="0.2">
      <c r="A25" s="37"/>
      <c r="B25" s="22"/>
      <c r="C25" s="22"/>
      <c r="D25" s="23"/>
      <c r="E25" s="23"/>
      <c r="F25" s="26"/>
      <c r="G25" s="26"/>
      <c r="H25" s="26"/>
    </row>
    <row r="26" spans="1:8" s="13" customFormat="1" x14ac:dyDescent="0.2">
      <c r="A26" s="38" t="s">
        <v>83</v>
      </c>
      <c r="B26" s="22"/>
      <c r="C26" s="22"/>
      <c r="D26" s="23"/>
      <c r="E26" s="23"/>
      <c r="F26" s="26"/>
      <c r="G26" s="26"/>
      <c r="H26" s="26"/>
    </row>
    <row r="27" spans="1:8" s="13" customFormat="1" x14ac:dyDescent="0.2">
      <c r="A27" s="37"/>
      <c r="B27" s="22"/>
      <c r="C27" s="22"/>
      <c r="D27" s="23"/>
      <c r="E27" s="23"/>
      <c r="F27" s="26"/>
      <c r="G27" s="26"/>
      <c r="H27" s="26"/>
    </row>
    <row r="28" spans="1:8" s="13" customFormat="1" x14ac:dyDescent="0.2">
      <c r="A28" s="37" t="s">
        <v>54</v>
      </c>
      <c r="B28" s="22"/>
      <c r="C28" s="22"/>
      <c r="D28" s="23"/>
      <c r="E28" s="23"/>
      <c r="F28" s="26"/>
      <c r="G28" s="26"/>
      <c r="H28" s="26"/>
    </row>
    <row r="29" spans="1:8" s="13" customFormat="1" x14ac:dyDescent="0.2">
      <c r="A29" s="37"/>
      <c r="B29" s="22"/>
      <c r="C29" s="22"/>
      <c r="D29" s="23"/>
      <c r="E29" s="23"/>
      <c r="F29" s="26"/>
      <c r="G29" s="26"/>
      <c r="H29" s="26"/>
    </row>
    <row r="30" spans="1:8" s="13" customFormat="1" x14ac:dyDescent="0.2">
      <c r="A30" s="38" t="s">
        <v>56</v>
      </c>
      <c r="B30" s="22"/>
      <c r="C30" s="22"/>
      <c r="D30" s="23"/>
      <c r="E30" s="23"/>
      <c r="F30" s="26"/>
      <c r="G30" s="26"/>
      <c r="H30" s="26"/>
    </row>
    <row r="31" spans="1:8" s="13" customFormat="1" x14ac:dyDescent="0.2">
      <c r="A31" s="38" t="s">
        <v>57</v>
      </c>
      <c r="B31" s="1"/>
      <c r="C31"/>
      <c r="D31" s="1"/>
      <c r="E31" s="1"/>
      <c r="F31" s="1"/>
      <c r="G31"/>
      <c r="H31"/>
    </row>
    <row r="32" spans="1:8" s="13" customFormat="1" x14ac:dyDescent="0.2">
      <c r="A32" s="38" t="s">
        <v>58</v>
      </c>
      <c r="B32" s="15"/>
      <c r="C32" s="15"/>
      <c r="D32" s="15"/>
      <c r="E32" s="15"/>
      <c r="F32" s="15"/>
      <c r="G32" s="15"/>
      <c r="H32" s="15"/>
    </row>
    <row r="33" spans="1:8" s="13" customFormat="1" x14ac:dyDescent="0.2">
      <c r="A33" s="37"/>
      <c r="B33" s="15"/>
      <c r="C33" s="15"/>
      <c r="D33" s="15"/>
      <c r="E33" s="15"/>
      <c r="F33" s="15"/>
      <c r="G33" s="15"/>
      <c r="H33" s="15"/>
    </row>
    <row r="34" spans="1:8" s="13" customFormat="1" x14ac:dyDescent="0.2">
      <c r="A34" s="17" t="s">
        <v>55</v>
      </c>
      <c r="B34" s="1"/>
      <c r="C34" s="1"/>
      <c r="D34" s="1"/>
      <c r="E34" s="1"/>
      <c r="F34" s="1"/>
      <c r="G34" s="1"/>
      <c r="H34" s="1"/>
    </row>
    <row r="35" spans="1:8" s="13" customFormat="1" x14ac:dyDescent="0.2">
      <c r="A35" s="12"/>
      <c r="B35" s="15"/>
      <c r="C35" s="15"/>
      <c r="D35" s="15"/>
      <c r="E35" s="15"/>
      <c r="F35" s="15"/>
      <c r="G35" s="15"/>
      <c r="H35" s="15"/>
    </row>
    <row r="36" spans="1:8" s="13" customFormat="1" ht="38.25" x14ac:dyDescent="0.2">
      <c r="A36" s="1"/>
      <c r="B36" s="32" t="s">
        <v>44</v>
      </c>
      <c r="C36" s="20" t="s">
        <v>4</v>
      </c>
      <c r="D36" s="20" t="s">
        <v>3</v>
      </c>
      <c r="E36" s="20" t="s">
        <v>6</v>
      </c>
      <c r="F36" s="20" t="s">
        <v>60</v>
      </c>
      <c r="G36" s="20" t="s">
        <v>8</v>
      </c>
      <c r="H36" s="20" t="s">
        <v>61</v>
      </c>
    </row>
    <row r="37" spans="1:8" s="13" customFormat="1" x14ac:dyDescent="0.2">
      <c r="A37" s="14" t="s">
        <v>2</v>
      </c>
      <c r="B37" s="25"/>
      <c r="C37" s="25"/>
      <c r="D37" s="25"/>
      <c r="E37" s="25"/>
      <c r="F37" s="25"/>
      <c r="G37" s="25"/>
      <c r="H37" s="25"/>
    </row>
    <row r="38" spans="1:8" s="13" customFormat="1" x14ac:dyDescent="0.2">
      <c r="A38" s="25"/>
    </row>
    <row r="39" spans="1:8" s="13" customFormat="1" ht="25.5" x14ac:dyDescent="0.2">
      <c r="A39" s="27" t="s">
        <v>5</v>
      </c>
      <c r="B39" s="27" t="s">
        <v>12</v>
      </c>
      <c r="C39" s="27">
        <v>2013</v>
      </c>
      <c r="D39" s="29">
        <v>21994.6164320877</v>
      </c>
      <c r="E39" s="29">
        <v>613249.55983590405</v>
      </c>
      <c r="F39" s="24">
        <v>1.056170512</v>
      </c>
      <c r="G39" s="24">
        <v>1.8095283</v>
      </c>
      <c r="H39" s="24">
        <v>1.7403803999999998E-2</v>
      </c>
    </row>
    <row r="40" spans="1:8" s="13" customFormat="1" ht="25.5" x14ac:dyDescent="0.2">
      <c r="A40" s="28" t="s">
        <v>5</v>
      </c>
      <c r="B40" s="27" t="s">
        <v>18</v>
      </c>
      <c r="C40" s="27">
        <v>2013</v>
      </c>
      <c r="D40" s="29">
        <v>230611.5955</v>
      </c>
      <c r="E40" s="29">
        <v>9648294.8829999994</v>
      </c>
      <c r="F40" s="24">
        <v>1.6532714707264999</v>
      </c>
      <c r="G40" s="24">
        <v>3.9556169460564976</v>
      </c>
      <c r="H40" s="24">
        <v>3.4011661532898384E-2</v>
      </c>
    </row>
    <row r="41" spans="1:8" s="13" customFormat="1" x14ac:dyDescent="0.2">
      <c r="A41" s="27"/>
      <c r="B41" s="27"/>
      <c r="C41" s="27"/>
      <c r="D41" s="29"/>
      <c r="E41" s="29"/>
      <c r="F41" s="24"/>
      <c r="G41" s="24"/>
      <c r="H41" s="24"/>
    </row>
    <row r="42" spans="1:8" s="13" customFormat="1" ht="25.5" x14ac:dyDescent="0.2">
      <c r="A42" s="27" t="s">
        <v>5</v>
      </c>
      <c r="B42" s="27" t="s">
        <v>19</v>
      </c>
      <c r="C42" s="27">
        <v>2016</v>
      </c>
      <c r="D42" s="29">
        <v>20318.1063700616</v>
      </c>
      <c r="E42" s="29">
        <v>573263.02932076063</v>
      </c>
      <c r="F42" s="24">
        <v>0.68290149210560902</v>
      </c>
      <c r="G42" s="24">
        <v>1.34328035672421</v>
      </c>
      <c r="H42" s="24">
        <v>1.25112318199707E-2</v>
      </c>
    </row>
    <row r="43" spans="1:8" s="13" customFormat="1" ht="25.5" x14ac:dyDescent="0.2">
      <c r="A43" s="28" t="s">
        <v>5</v>
      </c>
      <c r="B43" s="27" t="s">
        <v>18</v>
      </c>
      <c r="C43" s="27">
        <v>2016</v>
      </c>
      <c r="D43" s="29">
        <v>239641.473459962</v>
      </c>
      <c r="E43" s="29">
        <v>10144188.424176598</v>
      </c>
      <c r="F43" s="24">
        <v>1.02570142494234</v>
      </c>
      <c r="G43" s="24">
        <v>2.7548364787643198</v>
      </c>
      <c r="H43" s="24">
        <v>2.7832494999999999E-2</v>
      </c>
    </row>
    <row r="44" spans="1:8" s="13" customFormat="1" x14ac:dyDescent="0.2">
      <c r="A44" s="27"/>
      <c r="B44" s="27"/>
      <c r="C44" s="27"/>
      <c r="D44" s="29"/>
      <c r="E44" s="29"/>
      <c r="F44" s="24"/>
      <c r="G44" s="24"/>
      <c r="H44" s="24"/>
    </row>
    <row r="45" spans="1:8" s="13" customFormat="1" ht="25.5" x14ac:dyDescent="0.2">
      <c r="A45" s="27" t="s">
        <v>5</v>
      </c>
      <c r="B45" s="27" t="s">
        <v>20</v>
      </c>
      <c r="C45" s="27">
        <v>2019</v>
      </c>
      <c r="D45" s="29">
        <v>19552.702395416101</v>
      </c>
      <c r="E45" s="29">
        <v>557284.66288252932</v>
      </c>
      <c r="F45" s="24">
        <v>0.394333942145002</v>
      </c>
      <c r="G45" s="24">
        <v>0.97060602132741103</v>
      </c>
      <c r="H45" s="24">
        <v>8.33705687166106E-3</v>
      </c>
    </row>
    <row r="46" spans="1:8" s="13" customFormat="1" ht="25.5" x14ac:dyDescent="0.2">
      <c r="A46" s="27" t="s">
        <v>5</v>
      </c>
      <c r="B46" s="27" t="s">
        <v>18</v>
      </c>
      <c r="C46" s="27">
        <v>2019</v>
      </c>
      <c r="D46" s="29">
        <v>250220.84863141601</v>
      </c>
      <c r="E46" s="29">
        <v>10607300.567962555</v>
      </c>
      <c r="F46" s="24">
        <v>0.63432978173745502</v>
      </c>
      <c r="G46" s="24">
        <v>2.02219173456665</v>
      </c>
      <c r="H46" s="24">
        <v>2.66774983954658E-2</v>
      </c>
    </row>
    <row r="47" spans="1:8" s="13" customFormat="1" x14ac:dyDescent="0.2">
      <c r="A47" s="27"/>
      <c r="B47" s="27"/>
      <c r="C47" s="27"/>
      <c r="D47" s="29"/>
      <c r="E47" s="29"/>
      <c r="F47" s="24"/>
      <c r="G47" s="24"/>
      <c r="H47" s="24"/>
    </row>
    <row r="48" spans="1:8" s="13" customFormat="1" ht="25.5" x14ac:dyDescent="0.2">
      <c r="A48" s="27" t="s">
        <v>5</v>
      </c>
      <c r="B48" s="27" t="s">
        <v>21</v>
      </c>
      <c r="C48" s="27">
        <v>2022</v>
      </c>
      <c r="D48" s="29">
        <v>19692.491176843101</v>
      </c>
      <c r="E48" s="29">
        <v>565691.92927602213</v>
      </c>
      <c r="F48" s="24">
        <v>0.25208033934406288</v>
      </c>
      <c r="G48" s="24">
        <v>0.73775764966443003</v>
      </c>
      <c r="H48" s="24">
        <v>5.61767013683052E-3</v>
      </c>
    </row>
    <row r="49" spans="1:8" s="13" customFormat="1" ht="25.5" x14ac:dyDescent="0.2">
      <c r="A49" s="27" t="s">
        <v>5</v>
      </c>
      <c r="B49" s="27" t="s">
        <v>18</v>
      </c>
      <c r="C49" s="27">
        <v>2022</v>
      </c>
      <c r="D49" s="29">
        <v>257249.53064554301</v>
      </c>
      <c r="E49" s="29">
        <v>10787301.632436603</v>
      </c>
      <c r="F49" s="24">
        <v>0.487902867103293</v>
      </c>
      <c r="G49" s="24">
        <v>1.65006380701283</v>
      </c>
      <c r="H49" s="24">
        <v>2.7595297536249501E-2</v>
      </c>
    </row>
    <row r="50" spans="1:8" s="13" customFormat="1" x14ac:dyDescent="0.2">
      <c r="A50" s="27"/>
      <c r="B50" s="27"/>
      <c r="C50" s="27"/>
      <c r="D50" s="29"/>
      <c r="E50" s="29"/>
      <c r="F50" s="24"/>
      <c r="G50" s="24"/>
      <c r="H50" s="24"/>
    </row>
    <row r="51" spans="1:8" s="13" customFormat="1" ht="25.5" x14ac:dyDescent="0.2">
      <c r="A51" s="27" t="s">
        <v>5</v>
      </c>
      <c r="B51" s="27" t="s">
        <v>22</v>
      </c>
      <c r="C51" s="27">
        <v>2025</v>
      </c>
      <c r="D51" s="29">
        <v>19801.629906443064</v>
      </c>
      <c r="E51" s="29">
        <v>563393.42710481386</v>
      </c>
      <c r="F51" s="24">
        <v>0.19812907897300694</v>
      </c>
      <c r="G51" s="24">
        <v>0.58106048510143482</v>
      </c>
      <c r="H51" s="24">
        <v>4.4035234247789302E-3</v>
      </c>
    </row>
    <row r="52" spans="1:8" s="13" customFormat="1" ht="25.5" x14ac:dyDescent="0.2">
      <c r="A52" s="27" t="s">
        <v>5</v>
      </c>
      <c r="B52" s="27" t="s">
        <v>18</v>
      </c>
      <c r="C52" s="27">
        <v>2025</v>
      </c>
      <c r="D52" s="29">
        <v>261435.98021294299</v>
      </c>
      <c r="E52" s="29">
        <v>10882317.527966037</v>
      </c>
      <c r="F52" s="24">
        <v>0.39859909904101198</v>
      </c>
      <c r="G52" s="24">
        <v>1.4209208538213902</v>
      </c>
      <c r="H52" s="24">
        <v>2.8741489517926301E-2</v>
      </c>
    </row>
    <row r="53" spans="1:8" s="13" customFormat="1" x14ac:dyDescent="0.2">
      <c r="A53" s="27"/>
      <c r="B53" s="27"/>
      <c r="C53" s="27"/>
      <c r="D53" s="29"/>
      <c r="E53" s="29"/>
      <c r="F53" s="24"/>
      <c r="G53" s="24"/>
      <c r="H53" s="24"/>
    </row>
    <row r="54" spans="1:8" s="13" customFormat="1" ht="25.5" x14ac:dyDescent="0.2">
      <c r="A54" s="27" t="s">
        <v>5</v>
      </c>
      <c r="B54" s="27" t="s">
        <v>23</v>
      </c>
      <c r="C54" s="27">
        <v>2028</v>
      </c>
      <c r="D54" s="29">
        <v>18620.08254323501</v>
      </c>
      <c r="E54" s="29">
        <v>525608.60070295923</v>
      </c>
      <c r="F54" s="24">
        <v>0.13970934780098801</v>
      </c>
      <c r="G54" s="24">
        <v>0.422255653552079</v>
      </c>
      <c r="H54" s="24">
        <v>3.0516042786687702E-3</v>
      </c>
    </row>
    <row r="55" spans="1:8" s="13" customFormat="1" ht="25.5" x14ac:dyDescent="0.2">
      <c r="A55" s="27" t="s">
        <v>5</v>
      </c>
      <c r="B55" s="27" t="s">
        <v>18</v>
      </c>
      <c r="C55" s="27">
        <v>2028</v>
      </c>
      <c r="D55" s="29">
        <v>263449.63020173501</v>
      </c>
      <c r="E55" s="29">
        <v>10923203.066880574</v>
      </c>
      <c r="F55" s="24">
        <v>0.3398291176254033</v>
      </c>
      <c r="G55" s="24">
        <v>1.2701281787904499</v>
      </c>
      <c r="H55" s="24">
        <v>2.96075685076422E-2</v>
      </c>
    </row>
    <row r="56" spans="1:8" s="13" customFormat="1" x14ac:dyDescent="0.2">
      <c r="A56" s="27"/>
      <c r="B56" s="27"/>
      <c r="C56" s="27"/>
      <c r="D56" s="29"/>
      <c r="E56" s="29"/>
      <c r="F56" s="24"/>
      <c r="G56" s="24"/>
      <c r="H56" s="24"/>
    </row>
    <row r="57" spans="1:8" s="13" customFormat="1" ht="25.5" x14ac:dyDescent="0.2">
      <c r="A57" s="27" t="s">
        <v>5</v>
      </c>
      <c r="B57" s="27" t="s">
        <v>24</v>
      </c>
      <c r="C57" s="27">
        <v>2031</v>
      </c>
      <c r="D57" s="29">
        <v>19127.238705778</v>
      </c>
      <c r="E57" s="29">
        <v>543971.55390076374</v>
      </c>
      <c r="F57" s="24">
        <v>9.5377289363756904E-2</v>
      </c>
      <c r="G57" s="24">
        <v>0.29590454071309924</v>
      </c>
      <c r="H57" s="24">
        <v>2.0821591400156602E-3</v>
      </c>
    </row>
    <row r="58" spans="1:8" s="13" customFormat="1" ht="25.5" x14ac:dyDescent="0.2">
      <c r="A58" s="27" t="s">
        <v>5</v>
      </c>
      <c r="B58" s="27" t="s">
        <v>18</v>
      </c>
      <c r="C58" s="27">
        <v>2031</v>
      </c>
      <c r="D58" s="29">
        <v>265117.10393477703</v>
      </c>
      <c r="E58" s="29">
        <v>11011487.345593896</v>
      </c>
      <c r="F58" s="24">
        <v>0.29581011489272502</v>
      </c>
      <c r="G58" s="24">
        <v>1.1449061402397389</v>
      </c>
      <c r="H58" s="24">
        <v>3.0512577180395267E-2</v>
      </c>
    </row>
    <row r="59" spans="1:8" s="13" customFormat="1" x14ac:dyDescent="0.2">
      <c r="A59" s="27"/>
      <c r="B59" s="27"/>
      <c r="C59" s="27"/>
      <c r="D59" s="29"/>
      <c r="E59" s="29"/>
      <c r="F59" s="24"/>
      <c r="G59" s="24"/>
      <c r="H59" s="24"/>
    </row>
    <row r="60" spans="1:8" s="13" customFormat="1" ht="25.5" x14ac:dyDescent="0.2">
      <c r="A60" s="27" t="s">
        <v>5</v>
      </c>
      <c r="B60" s="27" t="s">
        <v>25</v>
      </c>
      <c r="C60" s="27">
        <v>2034</v>
      </c>
      <c r="D60" s="29">
        <v>20625.170910000001</v>
      </c>
      <c r="E60" s="29">
        <v>592689.51670000004</v>
      </c>
      <c r="F60" s="24">
        <v>6.3652523218635307E-2</v>
      </c>
      <c r="G60" s="24">
        <v>0.205959496541326</v>
      </c>
      <c r="H60" s="24">
        <v>1.5408113361272985E-3</v>
      </c>
    </row>
    <row r="61" spans="1:8" s="13" customFormat="1" ht="25.5" x14ac:dyDescent="0.2">
      <c r="A61" s="27" t="s">
        <v>5</v>
      </c>
      <c r="B61" s="27" t="s">
        <v>18</v>
      </c>
      <c r="C61" s="27">
        <v>2034</v>
      </c>
      <c r="D61" s="29">
        <v>266067.47172450082</v>
      </c>
      <c r="E61" s="29">
        <v>11066507.265104908</v>
      </c>
      <c r="F61" s="24">
        <v>0.2632161898441554</v>
      </c>
      <c r="G61" s="24">
        <v>1.0515981804201886</v>
      </c>
      <c r="H61" s="24">
        <v>3.085408045461769E-2</v>
      </c>
    </row>
    <row r="62" spans="1:8" s="13" customFormat="1" x14ac:dyDescent="0.2">
      <c r="A62" s="22"/>
      <c r="B62" s="22"/>
      <c r="C62" s="22"/>
      <c r="D62" s="23"/>
      <c r="E62" s="23"/>
      <c r="F62" s="26"/>
      <c r="G62" s="26"/>
      <c r="H62" s="26"/>
    </row>
    <row r="63" spans="1:8" s="13" customFormat="1" x14ac:dyDescent="0.2">
      <c r="A63" s="34" t="s">
        <v>62</v>
      </c>
      <c r="B63" s="22"/>
      <c r="C63" s="22"/>
      <c r="D63" s="23"/>
      <c r="E63" s="23"/>
      <c r="F63" s="26"/>
      <c r="G63" s="26"/>
      <c r="H63" s="26"/>
    </row>
    <row r="64" spans="1:8" s="13" customFormat="1" x14ac:dyDescent="0.2">
      <c r="A64" s="22" t="s">
        <v>59</v>
      </c>
      <c r="B64" s="22"/>
      <c r="C64" s="22"/>
      <c r="D64" s="23"/>
      <c r="E64" s="23"/>
      <c r="F64" s="26"/>
      <c r="G64" s="26"/>
      <c r="H64" s="26"/>
    </row>
    <row r="65" spans="1:8" s="13" customFormat="1" x14ac:dyDescent="0.2">
      <c r="A65" s="22"/>
      <c r="B65" s="22"/>
      <c r="C65" s="22"/>
      <c r="D65" s="23"/>
      <c r="E65" s="23"/>
      <c r="F65" s="26"/>
      <c r="G65" s="26"/>
      <c r="H65" s="26"/>
    </row>
    <row r="66" spans="1:8" s="5" customFormat="1" ht="25.5" x14ac:dyDescent="0.2">
      <c r="A66" s="18"/>
      <c r="B66" s="32" t="s">
        <v>44</v>
      </c>
      <c r="C66" s="20" t="s">
        <v>4</v>
      </c>
      <c r="D66" s="20" t="s">
        <v>7</v>
      </c>
      <c r="E66" s="20" t="s">
        <v>13</v>
      </c>
      <c r="F66" s="20" t="s">
        <v>14</v>
      </c>
      <c r="G66" s="20" t="s">
        <v>15</v>
      </c>
    </row>
    <row r="67" spans="1:8" s="6" customFormat="1" x14ac:dyDescent="0.2">
      <c r="A67" s="14" t="s">
        <v>45</v>
      </c>
      <c r="B67" s="25"/>
      <c r="C67" s="25"/>
      <c r="D67" s="25"/>
      <c r="E67" s="25"/>
      <c r="F67" s="25"/>
      <c r="G67" s="25"/>
    </row>
    <row r="68" spans="1:8" s="13" customFormat="1" x14ac:dyDescent="0.2">
      <c r="A68" s="25"/>
    </row>
    <row r="69" spans="1:8" s="13" customFormat="1" ht="25.5" x14ac:dyDescent="0.2">
      <c r="A69" s="27" t="s">
        <v>5</v>
      </c>
      <c r="B69" s="27" t="s">
        <v>12</v>
      </c>
      <c r="C69" s="27">
        <v>2013</v>
      </c>
      <c r="D69" s="31">
        <f>E39/D39</f>
        <v>27.881802882510883</v>
      </c>
      <c r="E69" s="19">
        <f t="shared" ref="E69:G70" si="0">F39*365*2000/$E39</f>
        <v>1.2572442350652622</v>
      </c>
      <c r="F69" s="19">
        <f t="shared" si="0"/>
        <v>2.1540262651855255</v>
      </c>
      <c r="G69" s="24">
        <f t="shared" si="0"/>
        <v>2.0717139892280717E-2</v>
      </c>
    </row>
    <row r="70" spans="1:8" s="13" customFormat="1" ht="25.5" x14ac:dyDescent="0.2">
      <c r="A70" s="27" t="s">
        <v>5</v>
      </c>
      <c r="B70" s="27" t="s">
        <v>18</v>
      </c>
      <c r="C70" s="27">
        <v>2013</v>
      </c>
      <c r="D70" s="31">
        <f>E40/D40</f>
        <v>41.83785668747953</v>
      </c>
      <c r="E70" s="19">
        <f t="shared" si="0"/>
        <v>0.12508823458089419</v>
      </c>
      <c r="F70" s="19">
        <f t="shared" si="0"/>
        <v>0.29928608170020865</v>
      </c>
      <c r="G70" s="24">
        <f t="shared" si="0"/>
        <v>2.5733575953159251E-3</v>
      </c>
    </row>
    <row r="71" spans="1:8" s="13" customFormat="1" x14ac:dyDescent="0.2">
      <c r="A71" s="27"/>
      <c r="B71" s="27"/>
      <c r="C71" s="27"/>
      <c r="D71" s="31"/>
      <c r="E71" s="19"/>
      <c r="F71" s="19"/>
      <c r="G71" s="24"/>
    </row>
    <row r="72" spans="1:8" s="13" customFormat="1" ht="25.5" x14ac:dyDescent="0.2">
      <c r="A72" s="27" t="s">
        <v>5</v>
      </c>
      <c r="B72" s="27" t="s">
        <v>19</v>
      </c>
      <c r="C72" s="27">
        <v>2016</v>
      </c>
      <c r="D72" s="31">
        <f>E42/D42</f>
        <v>28.214392565906358</v>
      </c>
      <c r="E72" s="19">
        <f t="shared" ref="E72:G73" si="1">F42*365*2000/$E42</f>
        <v>0.86961493021409608</v>
      </c>
      <c r="F72" s="19">
        <f t="shared" si="1"/>
        <v>1.7105492771277186</v>
      </c>
      <c r="G72" s="24">
        <f t="shared" si="1"/>
        <v>1.5931952282707329E-2</v>
      </c>
    </row>
    <row r="73" spans="1:8" s="13" customFormat="1" ht="25.5" x14ac:dyDescent="0.2">
      <c r="A73" s="27" t="s">
        <v>5</v>
      </c>
      <c r="B73" s="27" t="s">
        <v>18</v>
      </c>
      <c r="C73" s="27">
        <v>2016</v>
      </c>
      <c r="D73" s="31">
        <f>E43/D43</f>
        <v>42.33068791354863</v>
      </c>
      <c r="E73" s="19">
        <f t="shared" si="1"/>
        <v>7.3811921555339707E-2</v>
      </c>
      <c r="F73" s="19">
        <f t="shared" si="1"/>
        <v>0.19824460522687781</v>
      </c>
      <c r="G73" s="24">
        <f t="shared" si="1"/>
        <v>2.0028927401995874E-3</v>
      </c>
    </row>
    <row r="74" spans="1:8" s="13" customFormat="1" x14ac:dyDescent="0.2">
      <c r="A74" s="27"/>
      <c r="B74" s="27"/>
      <c r="C74" s="27"/>
      <c r="D74" s="31"/>
      <c r="E74" s="19"/>
      <c r="F74" s="19"/>
      <c r="G74" s="24"/>
    </row>
    <row r="75" spans="1:8" s="13" customFormat="1" ht="25.5" x14ac:dyDescent="0.2">
      <c r="A75" s="27" t="s">
        <v>5</v>
      </c>
      <c r="B75" s="27" t="s">
        <v>20</v>
      </c>
      <c r="C75" s="27">
        <v>2019</v>
      </c>
      <c r="D75" s="31">
        <f>E45/D45</f>
        <v>28.501669570400566</v>
      </c>
      <c r="E75" s="19">
        <f t="shared" ref="E75:G76" si="2">F45*365*2000/$E45</f>
        <v>0.5165471022957806</v>
      </c>
      <c r="F75" s="19">
        <f t="shared" si="2"/>
        <v>1.2714191557042087</v>
      </c>
      <c r="G75" s="24">
        <f t="shared" si="2"/>
        <v>1.092090258653944E-2</v>
      </c>
    </row>
    <row r="76" spans="1:8" s="13" customFormat="1" ht="25.5" x14ac:dyDescent="0.2">
      <c r="A76" s="27" t="s">
        <v>5</v>
      </c>
      <c r="B76" s="27" t="s">
        <v>18</v>
      </c>
      <c r="C76" s="27">
        <v>2019</v>
      </c>
      <c r="D76" s="31">
        <f>E46/D46</f>
        <v>42.391753628761272</v>
      </c>
      <c r="E76" s="19">
        <f t="shared" si="2"/>
        <v>4.3654908965899762E-2</v>
      </c>
      <c r="F76" s="19">
        <f t="shared" si="2"/>
        <v>0.13916829798264144</v>
      </c>
      <c r="G76" s="24">
        <f t="shared" si="2"/>
        <v>1.8359594605539399E-3</v>
      </c>
    </row>
    <row r="77" spans="1:8" s="13" customFormat="1" x14ac:dyDescent="0.2">
      <c r="A77" s="27"/>
      <c r="B77" s="27"/>
      <c r="C77" s="27"/>
      <c r="D77" s="31"/>
      <c r="E77" s="19"/>
      <c r="F77" s="19"/>
      <c r="G77" s="24"/>
    </row>
    <row r="78" spans="1:8" s="13" customFormat="1" ht="25.5" x14ac:dyDescent="0.2">
      <c r="A78" s="27" t="s">
        <v>5</v>
      </c>
      <c r="B78" s="27" t="s">
        <v>21</v>
      </c>
      <c r="C78" s="27">
        <v>2022</v>
      </c>
      <c r="D78" s="31">
        <f>E48/D48</f>
        <v>28.726275624347295</v>
      </c>
      <c r="E78" s="19">
        <f t="shared" ref="E78:G79" si="3">F48*365*2000/$E48</f>
        <v>0.32529834384710898</v>
      </c>
      <c r="F78" s="19">
        <f t="shared" si="3"/>
        <v>0.95204307571488955</v>
      </c>
      <c r="G78" s="24">
        <f t="shared" si="3"/>
        <v>7.2493507289995264E-3</v>
      </c>
    </row>
    <row r="79" spans="1:8" s="13" customFormat="1" ht="25.5" x14ac:dyDescent="0.2">
      <c r="A79" s="27" t="s">
        <v>5</v>
      </c>
      <c r="B79" s="27" t="s">
        <v>18</v>
      </c>
      <c r="C79" s="27">
        <v>2022</v>
      </c>
      <c r="D79" s="31">
        <f>E49/D49</f>
        <v>41.933221823056023</v>
      </c>
      <c r="E79" s="19">
        <f t="shared" si="3"/>
        <v>3.3017440794872212E-2</v>
      </c>
      <c r="F79" s="19">
        <f t="shared" si="3"/>
        <v>0.1116633816465635</v>
      </c>
      <c r="G79" s="24">
        <f t="shared" si="3"/>
        <v>1.86743338490591E-3</v>
      </c>
    </row>
    <row r="80" spans="1:8" s="13" customFormat="1" x14ac:dyDescent="0.2">
      <c r="A80" s="27"/>
      <c r="B80" s="27"/>
      <c r="C80" s="27"/>
      <c r="D80" s="31"/>
      <c r="E80" s="19"/>
      <c r="F80" s="19"/>
      <c r="G80" s="24"/>
    </row>
    <row r="81" spans="1:9" s="13" customFormat="1" ht="25.5" x14ac:dyDescent="0.2">
      <c r="A81" s="27" t="s">
        <v>5</v>
      </c>
      <c r="B81" s="27" t="s">
        <v>22</v>
      </c>
      <c r="C81" s="27">
        <v>2025</v>
      </c>
      <c r="D81" s="31">
        <f>E51/D51</f>
        <v>28.451871374562788</v>
      </c>
      <c r="E81" s="19">
        <f t="shared" ref="E81:G82" si="4">F51*365*2000/$E51</f>
        <v>0.25671976400851282</v>
      </c>
      <c r="F81" s="19">
        <f t="shared" si="4"/>
        <v>0.75289155626789717</v>
      </c>
      <c r="G81" s="24">
        <f t="shared" si="4"/>
        <v>5.7057323451708986E-3</v>
      </c>
    </row>
    <row r="82" spans="1:9" s="13" customFormat="1" ht="25.5" x14ac:dyDescent="0.2">
      <c r="A82" s="27" t="s">
        <v>5</v>
      </c>
      <c r="B82" s="27" t="s">
        <v>18</v>
      </c>
      <c r="C82" s="27">
        <v>2025</v>
      </c>
      <c r="D82" s="31">
        <f>E52/D52</f>
        <v>41.625171558644105</v>
      </c>
      <c r="E82" s="19">
        <f t="shared" si="4"/>
        <v>2.6738545493840592E-2</v>
      </c>
      <c r="F82" s="19">
        <f t="shared" si="4"/>
        <v>9.5317217185031597E-2</v>
      </c>
      <c r="G82" s="24">
        <f t="shared" si="4"/>
        <v>1.9280164628689813E-3</v>
      </c>
    </row>
    <row r="83" spans="1:9" s="13" customFormat="1" x14ac:dyDescent="0.2">
      <c r="A83" s="27"/>
      <c r="B83" s="27"/>
      <c r="C83" s="27"/>
      <c r="D83" s="31"/>
      <c r="E83" s="19"/>
      <c r="F83" s="19"/>
      <c r="G83" s="24"/>
    </row>
    <row r="84" spans="1:9" s="13" customFormat="1" ht="25.5" x14ac:dyDescent="0.2">
      <c r="A84" s="27" t="s">
        <v>5</v>
      </c>
      <c r="B84" s="27" t="s">
        <v>23</v>
      </c>
      <c r="C84" s="27">
        <v>2028</v>
      </c>
      <c r="D84" s="31">
        <f>E54/D54</f>
        <v>28.228048908081867</v>
      </c>
      <c r="E84" s="19">
        <f t="shared" ref="E84:G85" si="5">F54*365*2000/$E54</f>
        <v>0.19403758568318849</v>
      </c>
      <c r="F84" s="19">
        <f t="shared" si="5"/>
        <v>0.58645658895376251</v>
      </c>
      <c r="G84" s="24">
        <f t="shared" si="5"/>
        <v>4.2382699226170793E-3</v>
      </c>
    </row>
    <row r="85" spans="1:9" s="13" customFormat="1" ht="25.5" x14ac:dyDescent="0.2">
      <c r="A85" s="27" t="s">
        <v>5</v>
      </c>
      <c r="B85" s="27" t="s">
        <v>18</v>
      </c>
      <c r="C85" s="27">
        <v>2028</v>
      </c>
      <c r="D85" s="31">
        <f>E55/D55</f>
        <v>41.462206868600255</v>
      </c>
      <c r="E85" s="19">
        <f t="shared" si="5"/>
        <v>2.2710852700222592E-2</v>
      </c>
      <c r="F85" s="19">
        <f t="shared" si="5"/>
        <v>8.4882938167496175E-2</v>
      </c>
      <c r="G85" s="24">
        <f t="shared" si="5"/>
        <v>1.978680143383176E-3</v>
      </c>
    </row>
    <row r="86" spans="1:9" s="13" customFormat="1" x14ac:dyDescent="0.2">
      <c r="A86" s="27"/>
      <c r="B86" s="27"/>
      <c r="C86" s="27"/>
      <c r="D86" s="31"/>
      <c r="E86" s="19"/>
      <c r="F86" s="19"/>
      <c r="G86" s="24"/>
    </row>
    <row r="87" spans="1:9" s="13" customFormat="1" ht="25.5" x14ac:dyDescent="0.2">
      <c r="A87" s="27" t="s">
        <v>5</v>
      </c>
      <c r="B87" s="27" t="s">
        <v>24</v>
      </c>
      <c r="C87" s="27">
        <v>2031</v>
      </c>
      <c r="D87" s="31">
        <f>E57/D57</f>
        <v>28.439628023068462</v>
      </c>
      <c r="E87" s="19">
        <f t="shared" ref="E87:G88" si="6">F57*365*2000/$E57</f>
        <v>0.12799459960041265</v>
      </c>
      <c r="F87" s="19">
        <f t="shared" si="6"/>
        <v>0.39709854894355195</v>
      </c>
      <c r="G87" s="24">
        <f t="shared" si="6"/>
        <v>2.7942199574809384E-3</v>
      </c>
    </row>
    <row r="88" spans="1:9" s="13" customFormat="1" ht="25.5" x14ac:dyDescent="0.2">
      <c r="A88" s="27" t="s">
        <v>5</v>
      </c>
      <c r="B88" s="27" t="s">
        <v>18</v>
      </c>
      <c r="C88" s="27">
        <v>2031</v>
      </c>
      <c r="D88" s="31">
        <f>E58/D58</f>
        <v>41.53442830419155</v>
      </c>
      <c r="E88" s="19">
        <f t="shared" si="6"/>
        <v>1.9610555513020267E-2</v>
      </c>
      <c r="F88" s="19">
        <f t="shared" si="6"/>
        <v>7.5900871167003309E-2</v>
      </c>
      <c r="G88" s="24">
        <f t="shared" si="6"/>
        <v>2.0228131443661215E-3</v>
      </c>
    </row>
    <row r="89" spans="1:9" s="13" customFormat="1" x14ac:dyDescent="0.2">
      <c r="A89" s="27"/>
      <c r="B89" s="27"/>
      <c r="C89" s="27"/>
      <c r="D89" s="31"/>
      <c r="E89" s="19"/>
      <c r="F89" s="19"/>
      <c r="G89" s="24"/>
    </row>
    <row r="90" spans="1:9" s="13" customFormat="1" ht="25.5" x14ac:dyDescent="0.2">
      <c r="A90" s="27" t="s">
        <v>5</v>
      </c>
      <c r="B90" s="27" t="s">
        <v>25</v>
      </c>
      <c r="C90" s="27">
        <v>2034</v>
      </c>
      <c r="D90" s="31">
        <f>E60/D60</f>
        <v>28.736223291737076</v>
      </c>
      <c r="E90" s="19">
        <f t="shared" ref="E90:G91" si="7">F60*365*2000/$E60</f>
        <v>7.8399129122986508E-2</v>
      </c>
      <c r="F90" s="19">
        <f t="shared" si="7"/>
        <v>0.25367486388538646</v>
      </c>
      <c r="G90" s="24">
        <f t="shared" si="7"/>
        <v>1.8977765654361338E-3</v>
      </c>
      <c r="I90" s="33"/>
    </row>
    <row r="91" spans="1:9" s="33" customFormat="1" ht="25.5" x14ac:dyDescent="0.2">
      <c r="A91" s="27" t="s">
        <v>5</v>
      </c>
      <c r="B91" s="27" t="s">
        <v>18</v>
      </c>
      <c r="C91" s="27">
        <v>2034</v>
      </c>
      <c r="D91" s="31">
        <f>E61/D61</f>
        <v>41.592860613054221</v>
      </c>
      <c r="E91" s="19">
        <f t="shared" si="7"/>
        <v>1.7363004784004172E-2</v>
      </c>
      <c r="F91" s="19">
        <f t="shared" si="7"/>
        <v>6.9368469501425875E-2</v>
      </c>
      <c r="G91" s="24">
        <f t="shared" si="7"/>
        <v>2.0352834180023824E-3</v>
      </c>
    </row>
    <row r="92" spans="1:9" s="33" customFormat="1" x14ac:dyDescent="0.2"/>
    <row r="93" spans="1:9" x14ac:dyDescent="0.2">
      <c r="A93" s="39" t="s">
        <v>85</v>
      </c>
    </row>
    <row r="94" spans="1:9" s="15" customFormat="1" x14ac:dyDescent="0.2">
      <c r="A94" s="39" t="s">
        <v>63</v>
      </c>
    </row>
    <row r="95" spans="1:9" s="15" customFormat="1" x14ac:dyDescent="0.2">
      <c r="A95" s="21"/>
    </row>
    <row r="96" spans="1:9" s="5" customFormat="1" ht="63.75" x14ac:dyDescent="0.2">
      <c r="A96" s="40" t="s">
        <v>64</v>
      </c>
      <c r="B96" s="20" t="s">
        <v>65</v>
      </c>
      <c r="C96" s="20" t="s">
        <v>9</v>
      </c>
      <c r="D96" s="20" t="s">
        <v>11</v>
      </c>
      <c r="E96" s="20" t="s">
        <v>10</v>
      </c>
    </row>
    <row r="97" spans="1:9" s="6" customFormat="1" x14ac:dyDescent="0.2">
      <c r="A97" s="25" t="s">
        <v>26</v>
      </c>
      <c r="B97" s="25">
        <v>2013</v>
      </c>
      <c r="C97" s="41">
        <f>$D69*(E69-E70)</f>
        <v>31.566550437757044</v>
      </c>
      <c r="D97" s="41">
        <f>$D69*(F69-F70)</f>
        <v>51.713500194209665</v>
      </c>
      <c r="E97" s="42">
        <f>$D69*(G69-G70)</f>
        <v>0.50588136154716279</v>
      </c>
    </row>
    <row r="98" spans="1:9" s="6" customFormat="1" x14ac:dyDescent="0.2">
      <c r="A98" s="25" t="s">
        <v>27</v>
      </c>
      <c r="B98" s="25">
        <f>B97+3</f>
        <v>2016</v>
      </c>
      <c r="C98" s="41">
        <f>$D72*(E72-E73)</f>
        <v>22.453098491427529</v>
      </c>
      <c r="D98" s="41">
        <f>$D72*(F72-F73)</f>
        <v>42.668757692264535</v>
      </c>
      <c r="E98" s="42">
        <f>$D72*(G72-G73)</f>
        <v>0.39299995400619742</v>
      </c>
    </row>
    <row r="99" spans="1:9" x14ac:dyDescent="0.2">
      <c r="A99" s="25" t="s">
        <v>28</v>
      </c>
      <c r="B99" s="25">
        <f t="shared" ref="B99:B106" si="8">B98+3</f>
        <v>2019</v>
      </c>
      <c r="C99" s="41">
        <f>$D75*(E75-E76)</f>
        <v>13.478217036710246</v>
      </c>
      <c r="D99" s="41">
        <f>$D75*(F75-F76)</f>
        <v>32.271039817582732</v>
      </c>
      <c r="E99" s="42">
        <f>$D75*(G75-G76)</f>
        <v>0.25893604704272072</v>
      </c>
    </row>
    <row r="100" spans="1:9" s="33" customFormat="1" x14ac:dyDescent="0.2">
      <c r="A100" s="25" t="s">
        <v>29</v>
      </c>
      <c r="B100" s="25">
        <f t="shared" si="8"/>
        <v>2022</v>
      </c>
      <c r="C100" s="41">
        <f>$D78*(E78-E79)</f>
        <v>8.3961417808116838</v>
      </c>
      <c r="D100" s="41">
        <f>$D78*(F78-F79)</f>
        <v>24.140978720911392</v>
      </c>
      <c r="E100" s="42">
        <f>$D78*(G78-G79)</f>
        <v>0.1546024410138884</v>
      </c>
    </row>
    <row r="101" spans="1:9" s="33" customFormat="1" x14ac:dyDescent="0.2">
      <c r="A101" s="25" t="s">
        <v>30</v>
      </c>
      <c r="B101" s="25">
        <f t="shared" si="8"/>
        <v>2025</v>
      </c>
      <c r="C101" s="41">
        <f>$D81*(E81-E82)</f>
        <v>6.5433960477446727</v>
      </c>
      <c r="D101" s="41">
        <f>$D81*(F81-F82)</f>
        <v>18.709220514798826</v>
      </c>
      <c r="E101" s="42">
        <f>$D81*(G81-G82)</f>
        <v>0.10748308637289714</v>
      </c>
    </row>
    <row r="102" spans="1:9" s="33" customFormat="1" x14ac:dyDescent="0.2">
      <c r="A102" s="25" t="s">
        <v>31</v>
      </c>
      <c r="B102" s="25">
        <f t="shared" si="8"/>
        <v>2028</v>
      </c>
      <c r="C102" s="41">
        <f>$D84*(E84-E85)</f>
        <v>4.8362193979050447</v>
      </c>
      <c r="D102" s="41">
        <f>$D84*(F84-F85)</f>
        <v>14.158445545399902</v>
      </c>
      <c r="E102" s="42">
        <f>$D84*(G84-G85)</f>
        <v>6.3783810800416535E-2</v>
      </c>
    </row>
    <row r="103" spans="1:9" s="33" customFormat="1" x14ac:dyDescent="0.2">
      <c r="A103" s="25" t="s">
        <v>32</v>
      </c>
      <c r="B103" s="25">
        <f t="shared" si="8"/>
        <v>2031</v>
      </c>
      <c r="C103" s="41">
        <f>$D87*(E87-E88)</f>
        <v>3.0824018974812919</v>
      </c>
      <c r="D103" s="41">
        <f>$D87*(F87-F88)</f>
        <v>9.1347424778384454</v>
      </c>
      <c r="E103" s="42">
        <f>$D87*(G87-G88)</f>
        <v>2.1938522819446082E-2</v>
      </c>
    </row>
    <row r="104" spans="1:9" s="15" customFormat="1" x14ac:dyDescent="0.2">
      <c r="A104" s="25" t="s">
        <v>33</v>
      </c>
      <c r="B104" s="25">
        <f t="shared" si="8"/>
        <v>2034</v>
      </c>
      <c r="C104" s="41">
        <f>$D90*(E90-E91)</f>
        <v>1.7539476978672246</v>
      </c>
      <c r="D104" s="41">
        <f>$D90*(F90-F91)</f>
        <v>5.296269703112447</v>
      </c>
      <c r="E104" s="43" t="s">
        <v>41</v>
      </c>
    </row>
    <row r="105" spans="1:9" s="15" customFormat="1" x14ac:dyDescent="0.2">
      <c r="A105" s="25" t="s">
        <v>39</v>
      </c>
      <c r="B105" s="25">
        <f t="shared" si="8"/>
        <v>2037</v>
      </c>
      <c r="C105" s="41">
        <f>C104-(C$100-C$104)/($B$104-$B$100)</f>
        <v>1.2004315242885197</v>
      </c>
      <c r="D105" s="41">
        <f>D104-(D$100-D$104)/($B$104-$B$100)</f>
        <v>3.725877284962535</v>
      </c>
      <c r="E105" s="44" t="s">
        <v>41</v>
      </c>
    </row>
    <row r="106" spans="1:9" s="33" customFormat="1" x14ac:dyDescent="0.2">
      <c r="A106" s="25" t="s">
        <v>40</v>
      </c>
      <c r="B106" s="25">
        <f t="shared" si="8"/>
        <v>2040</v>
      </c>
      <c r="C106" s="41">
        <f>C105-(C$100-C$104)/($B$104-$B$100)</f>
        <v>0.64691535070981476</v>
      </c>
      <c r="D106" s="41">
        <f>D105-(D$100-D$104)/($B$104-$B$100)</f>
        <v>2.155484866812623</v>
      </c>
      <c r="E106" s="45" t="s">
        <v>41</v>
      </c>
    </row>
    <row r="107" spans="1:9" s="33" customFormat="1" x14ac:dyDescent="0.2">
      <c r="A107" s="46" t="s">
        <v>66</v>
      </c>
      <c r="B107" s="47"/>
      <c r="C107" s="41">
        <f>AVERAGE(C97:C104)</f>
        <v>11.513746598463092</v>
      </c>
      <c r="D107" s="41">
        <f>AVERAGE(D97:D104)</f>
        <v>24.761619333264743</v>
      </c>
      <c r="E107" s="43" t="s">
        <v>41</v>
      </c>
    </row>
    <row r="108" spans="1:9" s="33" customFormat="1" x14ac:dyDescent="0.2">
      <c r="G108" s="4"/>
      <c r="H108" s="4"/>
      <c r="I108" s="4"/>
    </row>
    <row r="109" spans="1:9" x14ac:dyDescent="0.2">
      <c r="A109" s="1" t="s">
        <v>42</v>
      </c>
    </row>
    <row r="110" spans="1:9" x14ac:dyDescent="0.2">
      <c r="A110" s="1" t="s">
        <v>43</v>
      </c>
    </row>
    <row r="111" spans="1:9" x14ac:dyDescent="0.2">
      <c r="G111" s="9"/>
      <c r="H111" s="9"/>
      <c r="I111" s="9"/>
    </row>
    <row r="112" spans="1:9" x14ac:dyDescent="0.2">
      <c r="A112" s="12" t="s">
        <v>68</v>
      </c>
    </row>
    <row r="114" spans="1:11" x14ac:dyDescent="0.2">
      <c r="A114" s="1" t="s">
        <v>69</v>
      </c>
      <c r="G114" s="3"/>
      <c r="H114" s="3"/>
      <c r="I114" s="3"/>
    </row>
    <row r="115" spans="1:11" x14ac:dyDescent="0.2">
      <c r="A115" s="1" t="s">
        <v>86</v>
      </c>
      <c r="G115" s="3"/>
      <c r="H115" s="3"/>
      <c r="I115" s="3"/>
    </row>
    <row r="116" spans="1:11" x14ac:dyDescent="0.2">
      <c r="A116" s="1" t="s">
        <v>70</v>
      </c>
      <c r="G116" s="3"/>
      <c r="H116" s="3"/>
      <c r="I116" s="3"/>
    </row>
    <row r="117" spans="1:11" x14ac:dyDescent="0.2">
      <c r="A117" s="1" t="s">
        <v>71</v>
      </c>
      <c r="G117" s="3"/>
      <c r="H117" s="3"/>
      <c r="I117" s="3"/>
    </row>
    <row r="118" spans="1:11" x14ac:dyDescent="0.2">
      <c r="G118" s="3"/>
      <c r="H118" s="3"/>
      <c r="I118" s="3"/>
    </row>
    <row r="119" spans="1:11" x14ac:dyDescent="0.2">
      <c r="A119" s="1" t="s">
        <v>87</v>
      </c>
      <c r="G119" s="3"/>
      <c r="H119" s="3"/>
      <c r="I119" s="3"/>
    </row>
    <row r="120" spans="1:11" s="15" customFormat="1" x14ac:dyDescent="0.2">
      <c r="A120" s="15" t="s">
        <v>78</v>
      </c>
      <c r="G120" s="3"/>
      <c r="H120" s="3"/>
      <c r="I120" s="3"/>
    </row>
    <row r="121" spans="1:11" s="15" customFormat="1" x14ac:dyDescent="0.2">
      <c r="G121" s="3"/>
      <c r="H121" s="3"/>
      <c r="I121" s="3"/>
    </row>
    <row r="122" spans="1:11" s="1" customFormat="1" x14ac:dyDescent="0.2">
      <c r="G122" s="3"/>
      <c r="H122" s="3"/>
      <c r="I122" s="3"/>
    </row>
    <row r="123" spans="1:11" s="16" customFormat="1" ht="63.75" x14ac:dyDescent="0.2">
      <c r="A123" s="49" t="s">
        <v>64</v>
      </c>
      <c r="B123" s="14" t="str">
        <f>Documentation!D96</f>
        <v>NOx Reduction lbs/retired veh/yr</v>
      </c>
      <c r="C123" s="20" t="s">
        <v>73</v>
      </c>
      <c r="D123" s="14" t="s">
        <v>74</v>
      </c>
      <c r="E123" s="50" t="s">
        <v>76</v>
      </c>
      <c r="F123" s="50" t="s">
        <v>75</v>
      </c>
      <c r="G123" s="14" t="s">
        <v>77</v>
      </c>
    </row>
    <row r="124" spans="1:11" s="15" customFormat="1" x14ac:dyDescent="0.2">
      <c r="A124" s="25" t="s">
        <v>26</v>
      </c>
      <c r="B124" s="41">
        <f>Documentation!D97</f>
        <v>51.713500194209665</v>
      </c>
      <c r="C124" s="52">
        <f>2000/B124</f>
        <v>38.67462060175805</v>
      </c>
      <c r="D124" s="53">
        <f>C124/C$134</f>
        <v>1.5227744811576436E-2</v>
      </c>
      <c r="E124" s="52">
        <f>D124*83200</f>
        <v>1266.9483683231595</v>
      </c>
      <c r="F124" s="41">
        <f>B124*E124/2000</f>
        <v>32.759167345666661</v>
      </c>
      <c r="G124" s="54">
        <f>E124</f>
        <v>1266.9483683231595</v>
      </c>
      <c r="J124" s="2"/>
      <c r="K124" s="10"/>
    </row>
    <row r="125" spans="1:11" s="15" customFormat="1" x14ac:dyDescent="0.2">
      <c r="A125" s="25" t="s">
        <v>27</v>
      </c>
      <c r="B125" s="41">
        <f>Documentation!D98</f>
        <v>42.668757692264535</v>
      </c>
      <c r="C125" s="52">
        <f t="shared" ref="C125:C133" si="9">2000/B125</f>
        <v>46.872702843246408</v>
      </c>
      <c r="D125" s="53">
        <f t="shared" ref="D125:D132" si="10">C125/C$134</f>
        <v>1.8455657648865562E-2</v>
      </c>
      <c r="E125" s="52">
        <f t="shared" ref="E125:E133" si="11">D125*83200</f>
        <v>1535.5107163856148</v>
      </c>
      <c r="F125" s="41">
        <f t="shared" ref="F125:F132" si="12">B125*E125/2000</f>
        <v>32.759167345666668</v>
      </c>
      <c r="G125" s="54">
        <f t="shared" ref="G125:G133" si="13">E125</f>
        <v>1535.5107163856148</v>
      </c>
      <c r="J125" s="2"/>
      <c r="K125" s="10"/>
    </row>
    <row r="126" spans="1:11" s="15" customFormat="1" x14ac:dyDescent="0.2">
      <c r="A126" s="25" t="s">
        <v>28</v>
      </c>
      <c r="B126" s="41">
        <f>Documentation!D99</f>
        <v>32.271039817582732</v>
      </c>
      <c r="C126" s="52">
        <f t="shared" si="9"/>
        <v>61.975071497705784</v>
      </c>
      <c r="D126" s="53">
        <f t="shared" si="10"/>
        <v>2.4402064164098559E-2</v>
      </c>
      <c r="E126" s="52">
        <f t="shared" si="11"/>
        <v>2030.2517384530001</v>
      </c>
      <c r="F126" s="41">
        <f t="shared" si="12"/>
        <v>32.759167345666668</v>
      </c>
      <c r="G126" s="54">
        <f t="shared" si="13"/>
        <v>2030.2517384530001</v>
      </c>
      <c r="J126" s="2"/>
      <c r="K126" s="10"/>
    </row>
    <row r="127" spans="1:11" s="15" customFormat="1" x14ac:dyDescent="0.2">
      <c r="A127" s="25" t="s">
        <v>29</v>
      </c>
      <c r="B127" s="41">
        <f>Documentation!D100</f>
        <v>24.140978720911392</v>
      </c>
      <c r="C127" s="52">
        <f t="shared" si="9"/>
        <v>82.846682527728689</v>
      </c>
      <c r="D127" s="53">
        <f t="shared" si="10"/>
        <v>3.2620052126913247E-2</v>
      </c>
      <c r="E127" s="52">
        <f t="shared" si="11"/>
        <v>2713.9883369591821</v>
      </c>
      <c r="F127" s="41">
        <f t="shared" si="12"/>
        <v>32.759167345666654</v>
      </c>
      <c r="G127" s="54">
        <f t="shared" si="13"/>
        <v>2713.9883369591821</v>
      </c>
      <c r="J127" s="2"/>
      <c r="K127" s="10"/>
    </row>
    <row r="128" spans="1:11" s="15" customFormat="1" x14ac:dyDescent="0.2">
      <c r="A128" s="25" t="s">
        <v>30</v>
      </c>
      <c r="B128" s="41">
        <f>Documentation!D101</f>
        <v>18.709220514798826</v>
      </c>
      <c r="C128" s="52">
        <f t="shared" si="9"/>
        <v>106.89916228300467</v>
      </c>
      <c r="D128" s="53">
        <f t="shared" si="10"/>
        <v>4.2090475316592886E-2</v>
      </c>
      <c r="E128" s="52">
        <f t="shared" si="11"/>
        <v>3501.9275463405279</v>
      </c>
      <c r="F128" s="41">
        <f t="shared" si="12"/>
        <v>32.759167345666661</v>
      </c>
      <c r="G128" s="54">
        <f t="shared" si="13"/>
        <v>3501.9275463405279</v>
      </c>
      <c r="J128" s="2"/>
      <c r="K128" s="10"/>
    </row>
    <row r="129" spans="1:16" s="15" customFormat="1" x14ac:dyDescent="0.2">
      <c r="A129" s="25" t="s">
        <v>31</v>
      </c>
      <c r="B129" s="41">
        <f>Documentation!D102</f>
        <v>14.158445545399902</v>
      </c>
      <c r="C129" s="52">
        <f t="shared" si="9"/>
        <v>141.25844490391833</v>
      </c>
      <c r="D129" s="53">
        <f t="shared" si="10"/>
        <v>5.5619098985529983E-2</v>
      </c>
      <c r="E129" s="52">
        <f t="shared" si="11"/>
        <v>4627.5090355960947</v>
      </c>
      <c r="F129" s="41">
        <f t="shared" si="12"/>
        <v>32.759167345666661</v>
      </c>
      <c r="G129" s="54">
        <f t="shared" si="13"/>
        <v>4627.5090355960947</v>
      </c>
      <c r="J129" s="2"/>
      <c r="K129" s="10"/>
    </row>
    <row r="130" spans="1:16" s="15" customFormat="1" x14ac:dyDescent="0.2">
      <c r="A130" s="25" t="s">
        <v>32</v>
      </c>
      <c r="B130" s="41">
        <f>Documentation!D103</f>
        <v>9.1347424778384454</v>
      </c>
      <c r="C130" s="52">
        <f t="shared" si="9"/>
        <v>218.94432216914123</v>
      </c>
      <c r="D130" s="53">
        <f t="shared" si="10"/>
        <v>8.6207135688971787E-2</v>
      </c>
      <c r="E130" s="52">
        <f t="shared" si="11"/>
        <v>7172.4336893224527</v>
      </c>
      <c r="F130" s="41">
        <f t="shared" si="12"/>
        <v>32.759167345666661</v>
      </c>
      <c r="G130" s="54">
        <f t="shared" si="13"/>
        <v>7172.4336893224527</v>
      </c>
      <c r="J130" s="10"/>
    </row>
    <row r="131" spans="1:16" s="15" customFormat="1" x14ac:dyDescent="0.2">
      <c r="A131" s="25" t="s">
        <v>33</v>
      </c>
      <c r="B131" s="41">
        <f>Documentation!D104</f>
        <v>5.296269703112447</v>
      </c>
      <c r="C131" s="52">
        <f t="shared" si="9"/>
        <v>377.62427370809013</v>
      </c>
      <c r="D131" s="53">
        <f t="shared" si="10"/>
        <v>0.14868577855996581</v>
      </c>
      <c r="E131" s="52">
        <f t="shared" si="11"/>
        <v>12370.656776189157</v>
      </c>
      <c r="F131" s="41">
        <f t="shared" si="12"/>
        <v>32.759167345666661</v>
      </c>
      <c r="G131" s="54">
        <f t="shared" si="13"/>
        <v>12370.656776189157</v>
      </c>
    </row>
    <row r="132" spans="1:16" s="6" customFormat="1" x14ac:dyDescent="0.2">
      <c r="A132" s="25" t="s">
        <v>39</v>
      </c>
      <c r="B132" s="41">
        <f>Documentation!D105</f>
        <v>3.725877284962535</v>
      </c>
      <c r="C132" s="52">
        <f t="shared" si="9"/>
        <v>536.78633165721953</v>
      </c>
      <c r="D132" s="53">
        <f t="shared" si="10"/>
        <v>0.21135424600511274</v>
      </c>
      <c r="E132" s="52">
        <f t="shared" si="11"/>
        <v>17584.673267625381</v>
      </c>
      <c r="F132" s="41">
        <f t="shared" si="12"/>
        <v>32.759167345666661</v>
      </c>
      <c r="G132" s="54">
        <f t="shared" si="13"/>
        <v>17584.673267625381</v>
      </c>
    </row>
    <row r="133" spans="1:16" s="5" customFormat="1" x14ac:dyDescent="0.2">
      <c r="A133" s="25" t="s">
        <v>40</v>
      </c>
      <c r="B133" s="51">
        <f>Documentation!D106</f>
        <v>2.155484866812623</v>
      </c>
      <c r="C133" s="52">
        <f t="shared" si="9"/>
        <v>927.86547973192557</v>
      </c>
      <c r="D133" s="53">
        <f>C133/C$134</f>
        <v>0.36533774669237296</v>
      </c>
      <c r="E133" s="52">
        <f t="shared" si="11"/>
        <v>30396.100524805432</v>
      </c>
      <c r="F133" s="41">
        <f>B133*E133/2000</f>
        <v>32.759167345666668</v>
      </c>
      <c r="G133" s="54">
        <f t="shared" si="13"/>
        <v>30396.100524805432</v>
      </c>
    </row>
    <row r="134" spans="1:16" x14ac:dyDescent="0.2">
      <c r="A134" s="25" t="s">
        <v>72</v>
      </c>
      <c r="B134" s="41">
        <f>SUM(B124:B133)</f>
        <v>203.97431681789311</v>
      </c>
      <c r="C134" s="52">
        <f>SUM(C124:C133)</f>
        <v>2539.7470919237385</v>
      </c>
      <c r="D134" s="55">
        <f>SUM(D124:D133)</f>
        <v>1</v>
      </c>
      <c r="E134" s="52">
        <f>SUM(E124:E133)</f>
        <v>83200</v>
      </c>
      <c r="F134" s="41">
        <f>B134*E134/2000</f>
        <v>8485.3315796243533</v>
      </c>
      <c r="G134" s="54">
        <f>SUM(G124:G133)</f>
        <v>83200</v>
      </c>
      <c r="H134" s="3"/>
      <c r="I134" s="3"/>
      <c r="K134" s="2"/>
      <c r="L134" s="2"/>
      <c r="M134" s="2"/>
      <c r="N134" s="10"/>
      <c r="O134" s="2"/>
      <c r="P134" s="2"/>
    </row>
    <row r="135" spans="1:16" s="1" customFormat="1" x14ac:dyDescent="0.2">
      <c r="G135" s="3"/>
      <c r="H135" s="3"/>
      <c r="I135" s="3"/>
      <c r="K135" s="2"/>
      <c r="L135" s="2"/>
      <c r="M135" s="2"/>
      <c r="N135" s="2"/>
      <c r="O135" s="2"/>
      <c r="P135" s="2"/>
    </row>
    <row r="136" spans="1:16" s="1" customFormat="1" x14ac:dyDescent="0.2">
      <c r="A136" s="48" t="s">
        <v>88</v>
      </c>
      <c r="G136" s="3"/>
      <c r="H136" s="3"/>
      <c r="I136" s="3"/>
      <c r="K136" s="2"/>
      <c r="L136" s="2"/>
      <c r="M136" s="2"/>
      <c r="N136" s="2"/>
      <c r="O136" s="2"/>
      <c r="P136" s="2"/>
    </row>
    <row r="137" spans="1:16" s="1" customFormat="1" x14ac:dyDescent="0.2">
      <c r="G137" s="3"/>
      <c r="H137" s="3"/>
      <c r="I137" s="3"/>
      <c r="K137" s="2"/>
      <c r="L137" s="2"/>
      <c r="M137" s="2"/>
      <c r="N137" s="2"/>
      <c r="O137" s="2"/>
      <c r="P137" s="2"/>
    </row>
    <row r="138" spans="1:16" x14ac:dyDescent="0.2">
      <c r="A138" s="48" t="s">
        <v>79</v>
      </c>
      <c r="G138" s="3"/>
      <c r="H138" s="3"/>
      <c r="I138" s="3"/>
      <c r="K138" s="2"/>
      <c r="L138" s="2"/>
      <c r="M138" s="2"/>
      <c r="N138" s="2"/>
      <c r="O138" s="2"/>
      <c r="P138" s="2"/>
    </row>
    <row r="139" spans="1:16" s="1" customFormat="1" x14ac:dyDescent="0.2">
      <c r="A139" s="48"/>
      <c r="G139" s="3"/>
      <c r="H139" s="3"/>
      <c r="I139" s="3"/>
      <c r="K139" s="2"/>
      <c r="L139" s="2"/>
      <c r="M139" s="2"/>
      <c r="N139" s="2"/>
      <c r="O139" s="2"/>
      <c r="P139" s="2"/>
    </row>
    <row r="140" spans="1:16" s="1" customFormat="1" x14ac:dyDescent="0.2">
      <c r="A140" s="1" t="s">
        <v>80</v>
      </c>
      <c r="G140" s="3"/>
      <c r="H140" s="3"/>
      <c r="I140" s="3"/>
      <c r="K140" s="2"/>
      <c r="L140" s="2"/>
      <c r="M140" s="2"/>
      <c r="N140" s="2"/>
      <c r="O140" s="2"/>
      <c r="P140" s="2"/>
    </row>
    <row r="141" spans="1:16" s="1" customFormat="1" x14ac:dyDescent="0.2">
      <c r="G141" s="3"/>
      <c r="H141" s="3"/>
      <c r="I141" s="3"/>
      <c r="K141" s="2"/>
      <c r="L141" s="2"/>
      <c r="M141" s="2"/>
      <c r="N141" s="2"/>
      <c r="O141" s="2"/>
      <c r="P141" s="2"/>
    </row>
    <row r="142" spans="1:16" x14ac:dyDescent="0.2">
      <c r="G142" s="3"/>
      <c r="H142" s="3"/>
      <c r="I142" s="3"/>
      <c r="K142" s="2"/>
      <c r="L142" s="2"/>
      <c r="M142" s="2"/>
      <c r="N142" s="2"/>
      <c r="O142" s="2"/>
      <c r="P142" s="2"/>
    </row>
    <row r="143" spans="1:16" s="16" customFormat="1" ht="63.75" x14ac:dyDescent="0.2">
      <c r="A143" s="20" t="str">
        <f>Documentation!A123</f>
        <v>Cycle</v>
      </c>
      <c r="B143" s="20" t="str">
        <f>Documentation!C96</f>
        <v>ROG Reduction lbs/retired veh/yr</v>
      </c>
      <c r="C143" s="20" t="str">
        <f>Documentation!C123</f>
        <v># to gen one ton</v>
      </c>
      <c r="D143" s="20" t="str">
        <f>Documentation!D123</f>
        <v>% of total to gen one ton</v>
      </c>
      <c r="E143" s="20" t="str">
        <f>Documentation!E123</f>
        <v>No Vehicle retired to gen max tons over 30 years</v>
      </c>
      <c r="F143" s="20" t="str">
        <f>Documentation!F123</f>
        <v>NOx Reduced tons per year</v>
      </c>
      <c r="G143" s="57" t="str">
        <f>Documentation!G123</f>
        <v>Cost at $1,000 per in $1,000s</v>
      </c>
      <c r="H143" s="8"/>
      <c r="I143" s="8"/>
      <c r="K143" s="56"/>
      <c r="L143" s="56"/>
      <c r="M143" s="56"/>
      <c r="N143" s="56"/>
      <c r="O143" s="56"/>
      <c r="P143" s="56"/>
    </row>
    <row r="144" spans="1:16" s="1" customFormat="1" x14ac:dyDescent="0.2">
      <c r="A144" s="25" t="str">
        <f>Documentation!A124</f>
        <v>Year 2013 retire pre 1994</v>
      </c>
      <c r="B144" s="41">
        <f>Documentation!C97</f>
        <v>31.566550437757044</v>
      </c>
      <c r="C144" s="52">
        <f>2000/B144</f>
        <v>63.358205830681499</v>
      </c>
      <c r="D144" s="53">
        <f>C144/C$154</f>
        <v>8.1176282063228182E-3</v>
      </c>
      <c r="E144" s="52">
        <f t="shared" ref="E144:E153" si="14">D144*83200</f>
        <v>675.38666676605851</v>
      </c>
      <c r="F144" s="41">
        <f t="shared" ref="F144:F153" si="15">B144*E144/2000</f>
        <v>10.659813640729697</v>
      </c>
      <c r="G144" s="54">
        <f t="shared" ref="G144:G153" si="16">E144</f>
        <v>675.38666676605851</v>
      </c>
      <c r="H144" s="3"/>
      <c r="I144" s="3"/>
      <c r="J144" s="3"/>
      <c r="K144" s="2"/>
      <c r="L144" s="2"/>
      <c r="M144" s="2"/>
      <c r="N144" s="2"/>
      <c r="O144" s="2"/>
      <c r="P144" s="2"/>
    </row>
    <row r="145" spans="1:16" s="6" customFormat="1" x14ac:dyDescent="0.2">
      <c r="A145" s="25" t="str">
        <f>Documentation!A125</f>
        <v>Year 2016 retire pre 1997</v>
      </c>
      <c r="B145" s="41">
        <f>Documentation!C98</f>
        <v>22.453098491427529</v>
      </c>
      <c r="C145" s="52">
        <f t="shared" ref="C145:C153" si="17">2000/B145</f>
        <v>89.074565845047587</v>
      </c>
      <c r="D145" s="53">
        <f t="shared" ref="D145:D153" si="18">C145/C$154</f>
        <v>1.1412479231215312E-2</v>
      </c>
      <c r="E145" s="52">
        <f t="shared" si="14"/>
        <v>949.518272037114</v>
      </c>
      <c r="F145" s="41">
        <f t="shared" si="15"/>
        <v>10.659813640729698</v>
      </c>
      <c r="G145" s="54">
        <f t="shared" si="16"/>
        <v>949.518272037114</v>
      </c>
      <c r="H145" s="3"/>
      <c r="I145" s="3"/>
      <c r="J145" s="3"/>
      <c r="K145" s="2"/>
      <c r="L145" s="2"/>
      <c r="M145" s="2"/>
      <c r="N145" s="2"/>
      <c r="O145" s="2"/>
      <c r="P145" s="2"/>
    </row>
    <row r="146" spans="1:16" s="6" customFormat="1" x14ac:dyDescent="0.2">
      <c r="A146" s="25" t="str">
        <f>Documentation!A126</f>
        <v>Year 2019 retire pre 2000</v>
      </c>
      <c r="B146" s="41">
        <f>Documentation!C99</f>
        <v>13.478217036710246</v>
      </c>
      <c r="C146" s="52">
        <f t="shared" si="17"/>
        <v>148.38757934767301</v>
      </c>
      <c r="D146" s="53">
        <f t="shared" si="18"/>
        <v>1.9011826231312322E-2</v>
      </c>
      <c r="E146" s="52">
        <f t="shared" si="14"/>
        <v>1581.7839424451852</v>
      </c>
      <c r="F146" s="41">
        <f t="shared" si="15"/>
        <v>10.659813640729697</v>
      </c>
      <c r="G146" s="54">
        <f t="shared" si="16"/>
        <v>1581.7839424451852</v>
      </c>
      <c r="H146" s="3"/>
      <c r="I146" s="3"/>
      <c r="J146" s="3"/>
      <c r="K146" s="2"/>
      <c r="L146" s="2"/>
      <c r="M146" s="2"/>
      <c r="N146" s="2"/>
      <c r="O146" s="2"/>
      <c r="P146" s="2"/>
    </row>
    <row r="147" spans="1:16" s="6" customFormat="1" x14ac:dyDescent="0.2">
      <c r="A147" s="25" t="str">
        <f>Documentation!A127</f>
        <v>Year 2022 retire pre 2003</v>
      </c>
      <c r="B147" s="41">
        <f>Documentation!C100</f>
        <v>8.3961417808116838</v>
      </c>
      <c r="C147" s="52">
        <f t="shared" si="17"/>
        <v>238.20464830295577</v>
      </c>
      <c r="D147" s="53">
        <f t="shared" si="18"/>
        <v>3.0519437010397457E-2</v>
      </c>
      <c r="E147" s="52">
        <f t="shared" si="14"/>
        <v>2539.2171592650684</v>
      </c>
      <c r="F147" s="41">
        <f t="shared" si="15"/>
        <v>10.659813640729698</v>
      </c>
      <c r="G147" s="54">
        <f t="shared" si="16"/>
        <v>2539.2171592650684</v>
      </c>
      <c r="H147" s="3"/>
      <c r="I147" s="3"/>
      <c r="J147" s="3"/>
      <c r="K147" s="2"/>
      <c r="L147" s="2"/>
      <c r="M147" s="2"/>
      <c r="N147" s="2"/>
      <c r="O147" s="2"/>
      <c r="P147" s="2"/>
    </row>
    <row r="148" spans="1:16" s="6" customFormat="1" x14ac:dyDescent="0.2">
      <c r="A148" s="25" t="str">
        <f>Documentation!A128</f>
        <v>Year 2025 retire pre 2006</v>
      </c>
      <c r="B148" s="41">
        <f>Documentation!C101</f>
        <v>6.5433960477446727</v>
      </c>
      <c r="C148" s="52">
        <f t="shared" si="17"/>
        <v>305.65168077963807</v>
      </c>
      <c r="D148" s="53">
        <f t="shared" si="18"/>
        <v>3.9160936972196456E-2</v>
      </c>
      <c r="E148" s="52">
        <f t="shared" si="14"/>
        <v>3258.189956086745</v>
      </c>
      <c r="F148" s="41">
        <f t="shared" si="15"/>
        <v>10.659813640729698</v>
      </c>
      <c r="G148" s="54">
        <f t="shared" si="16"/>
        <v>3258.189956086745</v>
      </c>
      <c r="H148" s="7"/>
      <c r="I148" s="7"/>
      <c r="J148" s="3"/>
      <c r="K148" s="3"/>
      <c r="L148" s="3"/>
      <c r="M148" s="3"/>
      <c r="N148" s="2"/>
      <c r="O148" s="2"/>
      <c r="P148" s="2"/>
    </row>
    <row r="149" spans="1:16" s="6" customFormat="1" x14ac:dyDescent="0.2">
      <c r="A149" s="25" t="str">
        <f>Documentation!A129</f>
        <v>Year 2028 retire pre 2009</v>
      </c>
      <c r="B149" s="41">
        <f>Documentation!C102</f>
        <v>4.8362193979050447</v>
      </c>
      <c r="C149" s="52">
        <f t="shared" si="17"/>
        <v>413.54616808045574</v>
      </c>
      <c r="D149" s="53">
        <f t="shared" si="18"/>
        <v>5.2984676485282919E-2</v>
      </c>
      <c r="E149" s="52">
        <f t="shared" si="14"/>
        <v>4408.3250835755389</v>
      </c>
      <c r="F149" s="41">
        <f t="shared" si="15"/>
        <v>10.659813640729698</v>
      </c>
      <c r="G149" s="54">
        <f t="shared" si="16"/>
        <v>4408.3250835755389</v>
      </c>
      <c r="H149" s="7"/>
      <c r="I149" s="7"/>
      <c r="J149" s="3"/>
      <c r="K149" s="2"/>
      <c r="L149" s="2"/>
      <c r="M149" s="2"/>
      <c r="N149" s="2"/>
      <c r="O149" s="2"/>
      <c r="P149" s="2"/>
    </row>
    <row r="150" spans="1:16" s="6" customFormat="1" x14ac:dyDescent="0.2">
      <c r="A150" s="25" t="str">
        <f>Documentation!A130</f>
        <v>Year 2031 retire pre 2012</v>
      </c>
      <c r="B150" s="41">
        <f>Documentation!C103</f>
        <v>3.0824018974812919</v>
      </c>
      <c r="C150" s="52">
        <f t="shared" si="17"/>
        <v>648.84465638119752</v>
      </c>
      <c r="D150" s="53">
        <f t="shared" si="18"/>
        <v>8.3131768254890187E-2</v>
      </c>
      <c r="E150" s="52">
        <f t="shared" si="14"/>
        <v>6916.5631188068637</v>
      </c>
      <c r="F150" s="41">
        <f t="shared" si="15"/>
        <v>10.659813640729698</v>
      </c>
      <c r="G150" s="54">
        <f t="shared" si="16"/>
        <v>6916.5631188068637</v>
      </c>
      <c r="H150" s="7"/>
      <c r="I150" s="7"/>
      <c r="J150" s="3"/>
      <c r="K150" s="2"/>
      <c r="L150" s="2"/>
      <c r="M150" s="2"/>
      <c r="N150" s="2"/>
      <c r="O150" s="2"/>
      <c r="P150" s="2"/>
    </row>
    <row r="151" spans="1:16" s="6" customFormat="1" x14ac:dyDescent="0.2">
      <c r="A151" s="25" t="str">
        <f>Documentation!A131</f>
        <v>Year 2034 retire pre 2015</v>
      </c>
      <c r="B151" s="41">
        <f>Documentation!C104</f>
        <v>1.7539476978672246</v>
      </c>
      <c r="C151" s="52">
        <f t="shared" si="17"/>
        <v>1140.2848570866574</v>
      </c>
      <c r="D151" s="53">
        <f t="shared" si="18"/>
        <v>0.14609644319579165</v>
      </c>
      <c r="E151" s="52">
        <f t="shared" si="14"/>
        <v>12155.224073889865</v>
      </c>
      <c r="F151" s="41">
        <f t="shared" si="15"/>
        <v>10.659813640729698</v>
      </c>
      <c r="G151" s="54">
        <f t="shared" si="16"/>
        <v>12155.224073889865</v>
      </c>
      <c r="H151" s="7"/>
      <c r="I151" s="7"/>
      <c r="J151" s="3"/>
      <c r="K151" s="2"/>
      <c r="L151" s="2"/>
      <c r="M151" s="2"/>
      <c r="N151" s="2"/>
      <c r="O151" s="2"/>
      <c r="P151" s="2"/>
    </row>
    <row r="152" spans="1:16" s="6" customFormat="1" x14ac:dyDescent="0.2">
      <c r="A152" s="25" t="str">
        <f>Documentation!A132</f>
        <v>Year 2037 retire pre 2018</v>
      </c>
      <c r="B152" s="41">
        <f>Documentation!C105</f>
        <v>1.2004315242885197</v>
      </c>
      <c r="C152" s="52">
        <f t="shared" si="17"/>
        <v>1666.0675428241309</v>
      </c>
      <c r="D152" s="53">
        <f t="shared" si="18"/>
        <v>0.21346117210785676</v>
      </c>
      <c r="E152" s="52">
        <f t="shared" si="14"/>
        <v>17759.969519373681</v>
      </c>
      <c r="F152" s="41">
        <f t="shared" si="15"/>
        <v>10.659813640729698</v>
      </c>
      <c r="G152" s="54">
        <f t="shared" si="16"/>
        <v>17759.969519373681</v>
      </c>
      <c r="H152" s="7"/>
      <c r="I152" s="7"/>
      <c r="J152" s="3"/>
      <c r="K152" s="2"/>
      <c r="L152" s="2"/>
      <c r="M152" s="2"/>
      <c r="N152" s="2"/>
      <c r="O152" s="2"/>
      <c r="P152" s="2"/>
    </row>
    <row r="153" spans="1:16" s="6" customFormat="1" x14ac:dyDescent="0.2">
      <c r="A153" s="25" t="str">
        <f>Documentation!A133</f>
        <v>Year 2040 retire pre 2021</v>
      </c>
      <c r="B153" s="41">
        <f>Documentation!C106</f>
        <v>0.64691535070981476</v>
      </c>
      <c r="C153" s="52">
        <f t="shared" si="17"/>
        <v>3091.5945924077091</v>
      </c>
      <c r="D153" s="53">
        <f t="shared" si="18"/>
        <v>0.396103632304734</v>
      </c>
      <c r="E153" s="52">
        <f t="shared" si="14"/>
        <v>32955.822207753867</v>
      </c>
      <c r="F153" s="41">
        <f t="shared" si="15"/>
        <v>10.659813640729697</v>
      </c>
      <c r="G153" s="54">
        <f t="shared" si="16"/>
        <v>32955.822207753867</v>
      </c>
      <c r="H153" s="7"/>
      <c r="I153" s="7"/>
      <c r="J153" s="3"/>
      <c r="K153" s="2"/>
      <c r="L153" s="2"/>
      <c r="M153" s="2"/>
      <c r="N153" s="2"/>
      <c r="O153" s="2"/>
      <c r="P153" s="2"/>
    </row>
    <row r="154" spans="1:16" s="6" customFormat="1" x14ac:dyDescent="0.2">
      <c r="A154" s="25" t="str">
        <f>Documentation!A134</f>
        <v>Total</v>
      </c>
      <c r="B154" s="41">
        <f>SUM(B144:B153)</f>
        <v>93.957319662703071</v>
      </c>
      <c r="C154" s="52">
        <f>SUM(C144:C153)</f>
        <v>7805.0144968861478</v>
      </c>
      <c r="D154" s="55">
        <f>Documentation!D134</f>
        <v>1</v>
      </c>
      <c r="E154" s="25">
        <f>Documentation!E134</f>
        <v>83200</v>
      </c>
      <c r="F154" s="25">
        <v>10.7</v>
      </c>
      <c r="G154" s="54">
        <f>SUM(G144:G153)</f>
        <v>83199.999999999985</v>
      </c>
      <c r="H154" s="7"/>
      <c r="I154" s="7"/>
      <c r="J154" s="3"/>
      <c r="K154" s="2"/>
      <c r="L154" s="2"/>
      <c r="M154" s="2"/>
      <c r="N154" s="2"/>
      <c r="O154" s="2"/>
      <c r="P154" s="2"/>
    </row>
    <row r="155" spans="1:16" s="6" customFormat="1" x14ac:dyDescent="0.2">
      <c r="G155" s="7"/>
      <c r="H155" s="7"/>
      <c r="I155" s="7"/>
      <c r="J155" s="3"/>
      <c r="K155" s="2"/>
      <c r="L155" s="2"/>
      <c r="M155" s="2"/>
      <c r="N155" s="2"/>
      <c r="O155" s="2"/>
      <c r="P155" s="2"/>
    </row>
    <row r="156" spans="1:16" s="6" customFormat="1" x14ac:dyDescent="0.2">
      <c r="A156" s="6" t="s">
        <v>81</v>
      </c>
      <c r="G156" s="7"/>
      <c r="H156" s="7"/>
      <c r="I156" s="7"/>
      <c r="J156" s="3"/>
      <c r="K156" s="2"/>
      <c r="L156" s="2"/>
      <c r="M156" s="2"/>
      <c r="N156" s="2"/>
      <c r="O156" s="2"/>
      <c r="P156" s="2"/>
    </row>
    <row r="157" spans="1:16" s="6" customFormat="1" x14ac:dyDescent="0.2">
      <c r="G157" s="7"/>
      <c r="H157" s="7"/>
      <c r="I157" s="7"/>
      <c r="J157" s="3"/>
      <c r="K157" s="2"/>
      <c r="L157" s="2"/>
      <c r="M157" s="2"/>
      <c r="N157" s="2"/>
      <c r="O157" s="2"/>
      <c r="P157" s="2"/>
    </row>
    <row r="158" spans="1:16" s="6" customFormat="1" x14ac:dyDescent="0.2">
      <c r="A158" s="6" t="s">
        <v>89</v>
      </c>
      <c r="G158" s="7"/>
      <c r="H158" s="7"/>
      <c r="I158" s="7"/>
      <c r="J158" s="3"/>
      <c r="K158" s="2"/>
      <c r="L158" s="2"/>
      <c r="M158" s="2"/>
      <c r="N158" s="2"/>
      <c r="O158" s="2"/>
      <c r="P158" s="2"/>
    </row>
    <row r="159" spans="1:16" s="6" customFormat="1" x14ac:dyDescent="0.2">
      <c r="G159" s="3"/>
      <c r="H159" s="3"/>
      <c r="I159" s="3"/>
      <c r="J159" s="3"/>
      <c r="K159" s="2"/>
      <c r="L159" s="2"/>
      <c r="M159" s="2"/>
      <c r="N159" s="2"/>
      <c r="O159" s="2"/>
      <c r="P159" s="2"/>
    </row>
    <row r="160" spans="1:16" s="6" customFormat="1" x14ac:dyDescent="0.2">
      <c r="G160" s="3"/>
      <c r="H160" s="3"/>
      <c r="I160" s="3"/>
      <c r="J160" s="3"/>
      <c r="K160" s="2"/>
      <c r="L160" s="2"/>
      <c r="M160" s="2"/>
      <c r="N160" s="2"/>
      <c r="O160" s="2"/>
      <c r="P160" s="2"/>
    </row>
    <row r="161" spans="1:16" s="6" customFormat="1" x14ac:dyDescent="0.2">
      <c r="G161" s="3"/>
      <c r="H161" s="3"/>
      <c r="I161" s="3"/>
      <c r="J161" s="3"/>
      <c r="K161" s="2"/>
      <c r="L161" s="2"/>
      <c r="M161" s="2"/>
      <c r="N161" s="2"/>
      <c r="O161" s="2"/>
      <c r="P161" s="2"/>
    </row>
    <row r="162" spans="1:16" s="6" customFormat="1" x14ac:dyDescent="0.2">
      <c r="G162" s="3"/>
      <c r="H162" s="3"/>
      <c r="I162" s="3"/>
      <c r="J162" s="3"/>
      <c r="K162" s="2"/>
      <c r="L162" s="2"/>
      <c r="M162" s="2"/>
      <c r="N162" s="2"/>
      <c r="O162" s="2"/>
      <c r="P162" s="2"/>
    </row>
    <row r="163" spans="1:16" s="1" customFormat="1" x14ac:dyDescent="0.2">
      <c r="A163" s="6"/>
      <c r="D163" s="6"/>
      <c r="G163" s="11"/>
      <c r="H163" s="11"/>
      <c r="I163" s="11"/>
      <c r="K163" s="2"/>
      <c r="L163" s="2"/>
      <c r="M163" s="2"/>
      <c r="O163" s="3"/>
      <c r="P163" s="3"/>
    </row>
    <row r="164" spans="1:16" x14ac:dyDescent="0.2">
      <c r="D164" s="6"/>
      <c r="G164" s="11"/>
      <c r="H164" s="11"/>
      <c r="I164" s="11"/>
      <c r="K164" s="2"/>
      <c r="L164" s="2"/>
      <c r="M164" s="2"/>
      <c r="O164" s="3"/>
      <c r="P164" s="3"/>
    </row>
    <row r="165" spans="1:16" x14ac:dyDescent="0.2">
      <c r="D165" s="6"/>
      <c r="G165" s="11"/>
      <c r="H165" s="11"/>
      <c r="I165" s="11"/>
      <c r="O165" s="3"/>
      <c r="P165" s="3"/>
    </row>
    <row r="166" spans="1:16" x14ac:dyDescent="0.2">
      <c r="D166" s="6"/>
      <c r="G166" s="11"/>
      <c r="H166" s="11"/>
      <c r="I166" s="11"/>
      <c r="L166" s="2"/>
      <c r="M166" s="2"/>
    </row>
    <row r="167" spans="1:16" x14ac:dyDescent="0.2">
      <c r="D167" s="6"/>
      <c r="G167" s="11"/>
      <c r="H167" s="11"/>
      <c r="I167" s="11"/>
    </row>
    <row r="168" spans="1:16" x14ac:dyDescent="0.2">
      <c r="D168" s="6"/>
      <c r="G168" s="11"/>
      <c r="H168" s="11"/>
      <c r="I168" s="11"/>
    </row>
    <row r="169" spans="1:16" x14ac:dyDescent="0.2">
      <c r="D169" s="6"/>
      <c r="G169" s="11"/>
      <c r="H169" s="11"/>
      <c r="I169" s="11"/>
    </row>
    <row r="170" spans="1:16" x14ac:dyDescent="0.2">
      <c r="D170" s="6"/>
      <c r="G170" s="11"/>
      <c r="H170" s="11"/>
      <c r="I170" s="11"/>
    </row>
    <row r="171" spans="1:16" x14ac:dyDescent="0.2">
      <c r="D171" s="6"/>
      <c r="G171" s="11"/>
      <c r="H171" s="11"/>
      <c r="I171" s="11"/>
    </row>
    <row r="172" spans="1:16" x14ac:dyDescent="0.2">
      <c r="D172" s="6"/>
      <c r="G172" s="11"/>
      <c r="H172" s="11"/>
      <c r="I172" s="11"/>
    </row>
    <row r="173" spans="1:16" x14ac:dyDescent="0.2">
      <c r="G173" s="7"/>
      <c r="H173" s="7"/>
      <c r="I173" s="7"/>
    </row>
    <row r="174" spans="1:16" s="6" customFormat="1" x14ac:dyDescent="0.2">
      <c r="A174" s="1"/>
      <c r="G174" s="7"/>
      <c r="H174" s="7"/>
      <c r="I174" s="7"/>
    </row>
    <row r="175" spans="1:16" s="6" customFormat="1" x14ac:dyDescent="0.2">
      <c r="G175" s="7"/>
      <c r="H175" s="7"/>
      <c r="I175" s="7"/>
    </row>
    <row r="176" spans="1:16" s="6" customFormat="1" x14ac:dyDescent="0.2">
      <c r="G176" s="7"/>
      <c r="H176" s="7"/>
      <c r="I176" s="7"/>
    </row>
    <row r="177" spans="2:9" s="6" customFormat="1" x14ac:dyDescent="0.2">
      <c r="G177" s="7"/>
      <c r="H177" s="7"/>
      <c r="I177" s="7"/>
    </row>
    <row r="178" spans="2:9" s="6" customFormat="1" x14ac:dyDescent="0.2">
      <c r="G178" s="7"/>
      <c r="H178" s="7"/>
      <c r="I178" s="7"/>
    </row>
    <row r="179" spans="2:9" s="6" customFormat="1" x14ac:dyDescent="0.2">
      <c r="G179" s="7"/>
      <c r="H179" s="7"/>
      <c r="I179" s="7"/>
    </row>
    <row r="180" spans="2:9" s="6" customFormat="1" x14ac:dyDescent="0.2">
      <c r="G180" s="7"/>
      <c r="H180" s="7"/>
      <c r="I180" s="7"/>
    </row>
    <row r="181" spans="2:9" s="6" customFormat="1" x14ac:dyDescent="0.2">
      <c r="G181" s="7"/>
      <c r="H181" s="7"/>
      <c r="I181" s="7"/>
    </row>
    <row r="182" spans="2:9" s="6" customFormat="1" x14ac:dyDescent="0.2">
      <c r="G182" s="7"/>
      <c r="H182" s="7"/>
      <c r="I182" s="7"/>
    </row>
    <row r="183" spans="2:9" s="6" customFormat="1" x14ac:dyDescent="0.2">
      <c r="G183" s="7"/>
      <c r="H183" s="7"/>
      <c r="I183" s="7"/>
    </row>
    <row r="184" spans="2:9" s="6" customFormat="1" x14ac:dyDescent="0.2">
      <c r="G184" s="7"/>
      <c r="H184" s="7"/>
      <c r="I184" s="7"/>
    </row>
    <row r="185" spans="2:9" s="6" customFormat="1" x14ac:dyDescent="0.2">
      <c r="G185" s="7"/>
      <c r="H185" s="7"/>
      <c r="I185" s="7"/>
    </row>
    <row r="186" spans="2:9" s="6" customFormat="1" x14ac:dyDescent="0.2">
      <c r="G186" s="7"/>
      <c r="H186" s="7"/>
      <c r="I186" s="7"/>
    </row>
    <row r="187" spans="2:9" s="6" customFormat="1" x14ac:dyDescent="0.2">
      <c r="B187" s="4"/>
      <c r="C187" s="4"/>
      <c r="D187" s="4"/>
      <c r="I187" s="7"/>
    </row>
    <row r="188" spans="2:9" s="6" customFormat="1" x14ac:dyDescent="0.2">
      <c r="B188" s="4"/>
      <c r="C188" s="4"/>
      <c r="D188" s="4"/>
      <c r="I188" s="7"/>
    </row>
    <row r="189" spans="2:9" s="6" customFormat="1" x14ac:dyDescent="0.2">
      <c r="B189" s="4"/>
      <c r="C189" s="4"/>
      <c r="D189" s="4"/>
      <c r="I189" s="7"/>
    </row>
    <row r="190" spans="2:9" s="6" customFormat="1" x14ac:dyDescent="0.2">
      <c r="B190" s="4"/>
      <c r="C190" s="4"/>
      <c r="D190" s="4"/>
      <c r="I190" s="7"/>
    </row>
    <row r="191" spans="2:9" s="6" customFormat="1" x14ac:dyDescent="0.2">
      <c r="B191" s="4"/>
      <c r="C191" s="4"/>
      <c r="D191" s="4"/>
      <c r="I191" s="7"/>
    </row>
    <row r="192" spans="2:9" s="6" customFormat="1" x14ac:dyDescent="0.2">
      <c r="B192" s="4"/>
      <c r="C192" s="4"/>
      <c r="D192" s="4"/>
      <c r="I192" s="7"/>
    </row>
    <row r="193" spans="1:9" s="6" customFormat="1" x14ac:dyDescent="0.2">
      <c r="B193" s="4"/>
      <c r="C193" s="4"/>
      <c r="D193" s="4"/>
      <c r="I193" s="7"/>
    </row>
    <row r="194" spans="1:9" s="6" customFormat="1" x14ac:dyDescent="0.2">
      <c r="B194" s="4"/>
      <c r="C194" s="4"/>
      <c r="D194" s="4"/>
      <c r="I194" s="7"/>
    </row>
    <row r="195" spans="1:9" s="6" customFormat="1" x14ac:dyDescent="0.2">
      <c r="B195" s="4"/>
      <c r="C195" s="4"/>
      <c r="D195" s="4"/>
      <c r="I195" s="7"/>
    </row>
    <row r="196" spans="1:9" s="6" customFormat="1" x14ac:dyDescent="0.2">
      <c r="B196" s="4"/>
      <c r="C196" s="4"/>
      <c r="D196" s="4"/>
      <c r="I196" s="7"/>
    </row>
    <row r="197" spans="1:9" s="6" customFormat="1" x14ac:dyDescent="0.2">
      <c r="G197" s="7"/>
      <c r="H197" s="7"/>
      <c r="I197" s="7"/>
    </row>
    <row r="198" spans="1:9" s="6" customFormat="1" x14ac:dyDescent="0.2">
      <c r="G198" s="7"/>
      <c r="H198" s="7"/>
      <c r="I198" s="7"/>
    </row>
    <row r="199" spans="1:9" s="6" customFormat="1" x14ac:dyDescent="0.2">
      <c r="G199" s="7"/>
      <c r="H199" s="7"/>
      <c r="I199" s="7"/>
    </row>
    <row r="200" spans="1:9" s="6" customFormat="1" x14ac:dyDescent="0.2">
      <c r="G200" s="7"/>
      <c r="H200" s="7"/>
      <c r="I200" s="7"/>
    </row>
    <row r="201" spans="1:9" s="6" customFormat="1" x14ac:dyDescent="0.2">
      <c r="G201" s="7"/>
      <c r="H201" s="7"/>
      <c r="I201" s="7"/>
    </row>
    <row r="202" spans="1:9" s="6" customFormat="1" x14ac:dyDescent="0.2">
      <c r="G202" s="7"/>
      <c r="H202" s="7"/>
      <c r="I202" s="7"/>
    </row>
    <row r="203" spans="1:9" s="6" customFormat="1" x14ac:dyDescent="0.2">
      <c r="G203" s="7"/>
      <c r="H203" s="7"/>
      <c r="I203" s="7"/>
    </row>
    <row r="204" spans="1:9" s="6" customFormat="1" x14ac:dyDescent="0.2">
      <c r="G204" s="7"/>
      <c r="H204" s="7"/>
      <c r="I204" s="7"/>
    </row>
    <row r="205" spans="1:9" s="6" customFormat="1" x14ac:dyDescent="0.2">
      <c r="G205" s="7"/>
      <c r="H205" s="7"/>
      <c r="I205" s="7"/>
    </row>
    <row r="206" spans="1:9" s="6" customFormat="1" x14ac:dyDescent="0.2">
      <c r="G206" s="7"/>
      <c r="H206" s="7"/>
      <c r="I206" s="7"/>
    </row>
    <row r="207" spans="1:9" s="6" customFormat="1" x14ac:dyDescent="0.2">
      <c r="G207" s="7"/>
      <c r="H207" s="7"/>
      <c r="I207" s="7"/>
    </row>
    <row r="208" spans="1:9" x14ac:dyDescent="0.2">
      <c r="A208" s="6"/>
      <c r="B208" s="5"/>
      <c r="C208" s="5"/>
      <c r="D208" s="5"/>
      <c r="G208" s="7"/>
      <c r="H208" s="7"/>
      <c r="I208" s="7"/>
    </row>
    <row r="209" spans="1:4" x14ac:dyDescent="0.2">
      <c r="B209" s="3"/>
      <c r="C209" s="3"/>
      <c r="D209" s="3"/>
    </row>
    <row r="210" spans="1:4" x14ac:dyDescent="0.2">
      <c r="A210"/>
      <c r="B210" s="3"/>
      <c r="C210" s="3"/>
      <c r="D210" s="3"/>
    </row>
    <row r="211" spans="1:4" x14ac:dyDescent="0.2">
      <c r="B211" s="3"/>
      <c r="C211" s="3"/>
      <c r="D211" s="3"/>
    </row>
    <row r="212" spans="1:4" x14ac:dyDescent="0.2">
      <c r="A212" s="6"/>
      <c r="B212" s="3"/>
      <c r="C212" s="3"/>
      <c r="D212" s="3"/>
    </row>
    <row r="213" spans="1:4" x14ac:dyDescent="0.2">
      <c r="A213" s="6"/>
      <c r="B213" s="3"/>
      <c r="C213" s="3"/>
      <c r="D213" s="3"/>
    </row>
    <row r="214" spans="1:4" x14ac:dyDescent="0.2">
      <c r="A214" s="6"/>
      <c r="B214" s="3"/>
      <c r="C214" s="3"/>
      <c r="D214" s="3"/>
    </row>
    <row r="215" spans="1:4" x14ac:dyDescent="0.2">
      <c r="A215" s="6"/>
      <c r="B215" s="8"/>
      <c r="C215" s="8"/>
      <c r="D215" s="8"/>
    </row>
    <row r="216" spans="1:4" x14ac:dyDescent="0.2">
      <c r="A216" s="5"/>
      <c r="B216" s="3"/>
      <c r="C216" s="3"/>
      <c r="D216" s="3"/>
    </row>
    <row r="217" spans="1:4" x14ac:dyDescent="0.2">
      <c r="A217" s="6"/>
      <c r="B217" s="3"/>
      <c r="C217" s="3"/>
      <c r="D217" s="3"/>
    </row>
    <row r="218" spans="1:4" x14ac:dyDescent="0.2">
      <c r="A218" s="6"/>
      <c r="B218" s="3"/>
      <c r="C218" s="3"/>
      <c r="D218" s="3"/>
    </row>
    <row r="219" spans="1:4" x14ac:dyDescent="0.2">
      <c r="A219" s="6"/>
      <c r="B219" s="3"/>
      <c r="C219" s="3"/>
      <c r="D219" s="3"/>
    </row>
    <row r="220" spans="1:4" x14ac:dyDescent="0.2">
      <c r="A220" s="6"/>
      <c r="B220" s="3"/>
      <c r="C220" s="3"/>
      <c r="D220" s="3"/>
    </row>
    <row r="221" spans="1:4" x14ac:dyDescent="0.2">
      <c r="A221" s="6"/>
      <c r="B221" s="3"/>
      <c r="C221" s="3"/>
      <c r="D221" s="3"/>
    </row>
    <row r="222" spans="1:4" x14ac:dyDescent="0.2">
      <c r="A222" s="6"/>
      <c r="B222" s="3"/>
      <c r="C222" s="3"/>
      <c r="D222" s="3"/>
    </row>
    <row r="223" spans="1:4" x14ac:dyDescent="0.2">
      <c r="A223" s="6"/>
      <c r="B223" s="3"/>
      <c r="C223" s="3"/>
      <c r="D223" s="3"/>
    </row>
    <row r="224" spans="1:4" x14ac:dyDescent="0.2">
      <c r="A224" s="6"/>
      <c r="B224" s="3"/>
      <c r="C224" s="3"/>
      <c r="D224" s="3"/>
    </row>
    <row r="225" spans="1:4" x14ac:dyDescent="0.2">
      <c r="A225" s="6"/>
      <c r="B225" s="3"/>
      <c r="C225" s="3"/>
      <c r="D225" s="3"/>
    </row>
    <row r="226" spans="1:4" x14ac:dyDescent="0.2">
      <c r="A226" s="6"/>
      <c r="B226" s="3"/>
      <c r="C226" s="3"/>
      <c r="D226" s="3"/>
    </row>
    <row r="227" spans="1:4" x14ac:dyDescent="0.2">
      <c r="A227" s="6"/>
      <c r="B227" s="3"/>
      <c r="C227" s="3"/>
      <c r="D227" s="3"/>
    </row>
    <row r="228" spans="1:4" x14ac:dyDescent="0.2">
      <c r="A228" s="6"/>
      <c r="B228" s="3"/>
      <c r="C228" s="3"/>
      <c r="D228" s="3"/>
    </row>
    <row r="229" spans="1:4" x14ac:dyDescent="0.2">
      <c r="A229" s="6"/>
      <c r="B229" s="3"/>
      <c r="C229" s="3"/>
      <c r="D229" s="3"/>
    </row>
    <row r="230" spans="1:4" x14ac:dyDescent="0.2">
      <c r="A230" s="6"/>
      <c r="B230" s="3"/>
      <c r="C230" s="3"/>
      <c r="D230" s="3"/>
    </row>
    <row r="231" spans="1:4" x14ac:dyDescent="0.2">
      <c r="A231" s="6"/>
      <c r="B231" s="3"/>
      <c r="C231" s="3"/>
      <c r="D231" s="3"/>
    </row>
    <row r="232" spans="1:4" x14ac:dyDescent="0.2">
      <c r="A232" s="6"/>
      <c r="B232" s="3"/>
      <c r="C232" s="3"/>
      <c r="D232" s="3"/>
    </row>
    <row r="233" spans="1:4" x14ac:dyDescent="0.2">
      <c r="A233" s="6"/>
      <c r="B233" s="3"/>
      <c r="C233" s="3"/>
      <c r="D233" s="3"/>
    </row>
    <row r="234" spans="1:4" x14ac:dyDescent="0.2">
      <c r="A234" s="6"/>
      <c r="B234" s="3"/>
      <c r="C234" s="3"/>
      <c r="D234" s="3"/>
    </row>
    <row r="235" spans="1:4" x14ac:dyDescent="0.2">
      <c r="A235" s="6"/>
      <c r="B235" s="3"/>
      <c r="C235" s="3"/>
      <c r="D235" s="3"/>
    </row>
    <row r="236" spans="1:4" x14ac:dyDescent="0.2">
      <c r="A236" s="6"/>
      <c r="B236" s="3"/>
      <c r="C236" s="3"/>
      <c r="D236" s="3"/>
    </row>
    <row r="237" spans="1:4" x14ac:dyDescent="0.2">
      <c r="A237" s="6"/>
      <c r="B237" s="3"/>
      <c r="C237" s="3"/>
      <c r="D237" s="3"/>
    </row>
    <row r="238" spans="1:4" x14ac:dyDescent="0.2">
      <c r="A238" s="6"/>
      <c r="B238" s="3"/>
      <c r="C238" s="3"/>
      <c r="D238" s="3"/>
    </row>
    <row r="239" spans="1:4" x14ac:dyDescent="0.2">
      <c r="A239" s="6"/>
      <c r="B239" s="3"/>
      <c r="C239" s="3"/>
      <c r="D239" s="3"/>
    </row>
    <row r="240" spans="1:4" x14ac:dyDescent="0.2">
      <c r="A240" s="6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Documentation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Michael  F. Goldman</cp:lastModifiedBy>
  <cp:lastPrinted>2013-11-15T19:08:58Z</cp:lastPrinted>
  <dcterms:created xsi:type="dcterms:W3CDTF">2013-09-16T23:56:47Z</dcterms:created>
  <dcterms:modified xsi:type="dcterms:W3CDTF">2013-11-26T19:07:20Z</dcterms:modified>
</cp:coreProperties>
</file>