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capcd.org\shares\Groups\ENGR\WP\ERCs\Offsets Project\Post Workgroup\Report\Clean Tech Fund Analyses\"/>
    </mc:Choice>
  </mc:AlternateContent>
  <bookViews>
    <workbookView xWindow="0" yWindow="0" windowWidth="20070" windowHeight="10590" activeTab="1"/>
  </bookViews>
  <sheets>
    <sheet name="Data" sheetId="3" r:id="rId1"/>
    <sheet name="Documentation" sheetId="1" r:id="rId2"/>
  </sheets>
  <calcPr calcId="152511"/>
</workbook>
</file>

<file path=xl/calcChain.xml><?xml version="1.0" encoding="utf-8"?>
<calcChain xmlns="http://schemas.openxmlformats.org/spreadsheetml/2006/main">
  <c r="C91" i="1" l="1"/>
  <c r="J67" i="1"/>
  <c r="J94" i="1" l="1"/>
  <c r="E51" i="1"/>
  <c r="E52" i="1"/>
  <c r="E53" i="1"/>
  <c r="E54" i="1"/>
  <c r="E55" i="1"/>
  <c r="E56" i="1"/>
  <c r="C25" i="1"/>
  <c r="B30" i="1"/>
  <c r="B29" i="1"/>
  <c r="B28" i="1"/>
  <c r="B27" i="1"/>
  <c r="B26" i="1"/>
  <c r="B25" i="1"/>
  <c r="E57" i="1" l="1"/>
  <c r="K68" i="1"/>
  <c r="K67" i="1"/>
  <c r="L69" i="1" l="1"/>
  <c r="K69" i="1"/>
  <c r="K70" i="1" s="1"/>
  <c r="E12" i="3" s="1"/>
  <c r="J69" i="1"/>
  <c r="L68" i="1"/>
  <c r="J68" i="1"/>
  <c r="L67" i="1"/>
  <c r="D91" i="1" l="1"/>
  <c r="J70" i="1"/>
  <c r="L70" i="1"/>
  <c r="F20" i="1"/>
  <c r="F19" i="1"/>
  <c r="F18" i="1"/>
  <c r="F17" i="1"/>
  <c r="F16" i="1"/>
  <c r="E6" i="3" l="1"/>
  <c r="E91" i="1"/>
  <c r="E16" i="3"/>
  <c r="C26" i="1"/>
  <c r="D26" i="1"/>
  <c r="D28" i="1"/>
  <c r="C28" i="1"/>
  <c r="D29" i="1"/>
  <c r="C29" i="1"/>
  <c r="D30" i="1"/>
  <c r="C30" i="1"/>
  <c r="D27" i="1"/>
  <c r="C27" i="1"/>
  <c r="F21" i="1"/>
  <c r="F91" i="1" s="1"/>
  <c r="H91" i="1" s="1"/>
  <c r="D98" i="1" s="1"/>
  <c r="B12" i="3" s="1"/>
  <c r="I91" i="1" l="1"/>
  <c r="E98" i="1" s="1"/>
  <c r="B16" i="3" s="1"/>
  <c r="G91" i="1"/>
  <c r="C98" i="1" s="1"/>
  <c r="B6" i="3" s="1"/>
  <c r="C38" i="1"/>
  <c r="C37" i="1"/>
  <c r="C36" i="1"/>
  <c r="D31" i="1"/>
  <c r="K36" i="1" l="1"/>
  <c r="L36" i="1"/>
  <c r="J36" i="1"/>
  <c r="L37" i="1"/>
  <c r="K37" i="1"/>
  <c r="J37" i="1"/>
  <c r="K38" i="1"/>
  <c r="J38" i="1"/>
  <c r="L38" i="1"/>
  <c r="J39" i="1" l="1"/>
  <c r="C6" i="3" s="1"/>
  <c r="L39" i="1"/>
  <c r="C16" i="3" s="1"/>
  <c r="K39" i="1"/>
  <c r="C12" i="3" s="1"/>
</calcChain>
</file>

<file path=xl/sharedStrings.xml><?xml version="1.0" encoding="utf-8"?>
<sst xmlns="http://schemas.openxmlformats.org/spreadsheetml/2006/main" count="128" uniqueCount="103">
  <si>
    <t>HP</t>
  </si>
  <si>
    <t>Avg HP</t>
  </si>
  <si>
    <t>Equip Life</t>
  </si>
  <si>
    <t>Hrs/yr</t>
  </si>
  <si>
    <t>Model</t>
  </si>
  <si>
    <t>Cost</t>
  </si>
  <si>
    <t>Cost/HP</t>
  </si>
  <si>
    <t>8245R</t>
  </si>
  <si>
    <t>8360R</t>
  </si>
  <si>
    <t>6105D</t>
  </si>
  <si>
    <t>6170R</t>
  </si>
  <si>
    <t>4045D</t>
  </si>
  <si>
    <t>5083EN</t>
  </si>
  <si>
    <t>AVG Cost</t>
  </si>
  <si>
    <t>Equip in SB Co.</t>
  </si>
  <si>
    <t>NOx lbs/yr reduced</t>
  </si>
  <si>
    <t>ROG lbs/yr reduced</t>
  </si>
  <si>
    <t>PM lbs/yr reduced</t>
  </si>
  <si>
    <t>Total</t>
  </si>
  <si>
    <t>Tier</t>
  </si>
  <si>
    <t>Tier 4 NOx (g/bhp-hr)</t>
  </si>
  <si>
    <t>Tier 4 PM (g/bhp-hr)</t>
  </si>
  <si>
    <t>Tier 4 ROG (g/bhp-hr)</t>
  </si>
  <si>
    <t>Base NOx (g/bhp-hr)</t>
  </si>
  <si>
    <t>Base PM (g/bhp-hr)</t>
  </si>
  <si>
    <t>ROG</t>
  </si>
  <si>
    <t>NOx</t>
  </si>
  <si>
    <t>PM</t>
  </si>
  <si>
    <t>total hp</t>
  </si>
  <si>
    <t>Project Name</t>
  </si>
  <si>
    <t>ERC Cost Effectiveness ($/Ton in $1,000s)</t>
  </si>
  <si>
    <t>Incentive Funding</t>
  </si>
  <si>
    <t>District Cost/Project</t>
  </si>
  <si>
    <t>Project Life</t>
  </si>
  <si>
    <t>Emission Reduction and Cost Documentation Mobile Ag Equipment Replacement</t>
  </si>
  <si>
    <t>Total Emission Inventory</t>
  </si>
  <si>
    <t>Farm Equipment</t>
  </si>
  <si>
    <t>Statewide Farm Equipment Population</t>
  </si>
  <si>
    <t>HP range</t>
  </si>
  <si>
    <t>50 and less</t>
  </si>
  <si>
    <t>51 to 120</t>
  </si>
  <si>
    <t>121 to 175</t>
  </si>
  <si>
    <t>176 to 250</t>
  </si>
  <si>
    <t>251 to 500</t>
  </si>
  <si>
    <t>Average hp per equipment was then estimated.</t>
  </si>
  <si>
    <t>Avg hp per engine</t>
  </si>
  <si>
    <t>Total Equipment</t>
  </si>
  <si>
    <t>Baseline NOx (tons/yr)</t>
  </si>
  <si>
    <t>Baseline ROC (tons/yr)</t>
  </si>
  <si>
    <t>Baseline PM (tons/yr)</t>
  </si>
  <si>
    <t>No. Equip By Tier</t>
  </si>
  <si>
    <t>Engine Load</t>
  </si>
  <si>
    <t>Mobile Agricultural Equip. Replace.</t>
  </si>
  <si>
    <t>References</t>
  </si>
  <si>
    <t>equipment has a life of 16 years.  Tier 1  standards took effect between 1996 and 1999 for mobile farm equipment, which suggests that average Tier 1</t>
  </si>
  <si>
    <t>The total inventory of farm equipment is comprised of equipment that could be replaced and generate emission reductions. ARB data says that farm</t>
  </si>
  <si>
    <t xml:space="preserve">engines after a higher tier standard takes effect.  So it is difficult to determine the average age for engines that meet different tiers.  </t>
  </si>
  <si>
    <t xml:space="preserve">The first step is to estimate the population of farm equipment in Santa Barbara County. This was accomplished by apportioning statewide equipment </t>
  </si>
  <si>
    <t>estimates to Santa Barbara County using relative statewide and county crop land acreages.</t>
  </si>
  <si>
    <t>SB Cropland % of CA</t>
  </si>
  <si>
    <t>Emissions were estimated assuming 1/3 of the equipment is Tier 1, 1/3 is Tier 2 and 1/3 is Tier 3</t>
  </si>
  <si>
    <t>Statewide and Santa Barbara cropland acreages, 2007 Census of Agriculture, USDA.</t>
  </si>
  <si>
    <t xml:space="preserve">Statewide equipment population, engine hp, load and engine hours.  ARB Off-Road Model, </t>
  </si>
  <si>
    <t>Emission factors, 2011 Carl Moyer Program Guidance, Appendix D,Table D-11 and D-12.</t>
  </si>
  <si>
    <t>Incentive Funding Amount</t>
  </si>
  <si>
    <t>It was assumed that funding at 80% of the total cost would be sufficient to obtain farmer participation.  The cost per hp was derived by doing a Google</t>
  </si>
  <si>
    <t>80% of new equipment cost</t>
  </si>
  <si>
    <t>The incentive funding amount was therefore 80% of $763/hp or $610/hp</t>
  </si>
  <si>
    <t>Emission Reductions Per Project</t>
  </si>
  <si>
    <t>Existing Tier</t>
  </si>
  <si>
    <t>Average</t>
  </si>
  <si>
    <t>Emission reductions per project were calculated as the average of Tier 1, Tier, 2 and Tier 3 to Tier 4 repower as indicated below.</t>
  </si>
  <si>
    <t>The project of 10 years was taken from Chapter 7:  Off-Road Compression Ignition Equipment, ARB, 10/30/13.</t>
  </si>
  <si>
    <t>ERC Cost-Effectiveness</t>
  </si>
  <si>
    <t>Total Emission Reductions</t>
  </si>
  <si>
    <t>As indicated we estimated that there are 1,892 piece of mobile agricultural equipment in the county.  The Moyer program indicates</t>
  </si>
  <si>
    <t>a 10 year project life for farm equipment replacement projects.  Assuming the population does not change, and 1/3 of the equipment</t>
  </si>
  <si>
    <t>is replaced during each ten year cycle, and the reductions are as indicated above the total tons per year would be:</t>
  </si>
  <si>
    <t>NOx  reduced lbs/yr/ equip.</t>
  </si>
  <si>
    <t>ROC reduced lbs/yr/ equip.</t>
  </si>
  <si>
    <t>PM reduced lbs/yr/ equip.</t>
  </si>
  <si>
    <t># equipment replaced per 10 cycle</t>
  </si>
  <si>
    <t>NOx  reduced tons/yr</t>
  </si>
  <si>
    <t>ROC reduced tons/yr</t>
  </si>
  <si>
    <t>PM reduced tons/yr</t>
  </si>
  <si>
    <t>Total Costs</t>
  </si>
  <si>
    <t>Total costs in $1,000s would be the no of equipment 1,892 X district cost per $62,830, or</t>
  </si>
  <si>
    <t>NOx  ERC Cost/Ton ($1,000s)</t>
  </si>
  <si>
    <t>PM  ERC Cost/Ton  ($1,000s)</t>
  </si>
  <si>
    <t>District Cost/ Project</t>
  </si>
  <si>
    <t>Project Life (yrs)</t>
  </si>
  <si>
    <t>For this initial assessment, we are going to simply assume that 1/3 of the engines are Tier 1, 1/3 and Tier 2 and the final 1/3 are Tier 3.</t>
  </si>
  <si>
    <t>search of the cost of new farm equipment and averaging the results.</t>
  </si>
  <si>
    <t>Base ROG (g/hp-hr)</t>
  </si>
  <si>
    <t>ERC cost effectiveness is total reductions in tons per year divided by the total cost over 30 years.</t>
  </si>
  <si>
    <t>ROC  ERC Cost/Ton  ($1,000s)</t>
  </si>
  <si>
    <t xml:space="preserve">ERC Project Assessment Documentation:  Replacement of Mobile Agricultural Equipment </t>
  </si>
  <si>
    <t>with Tier 4 Powered Equipment</t>
  </si>
  <si>
    <t xml:space="preserve">equipment has average remaining life of ~3.5 years.  However, ARB/EPA "flex" engine provisions allow the use of some fraction of new lower tier </t>
  </si>
  <si>
    <t>As indicated above, the average equipment is 103 hp, the average district contribution is $610/hp, or $62,830 per equipment.</t>
  </si>
  <si>
    <r>
      <rPr>
        <i/>
        <u/>
        <sz val="10"/>
        <color theme="1"/>
        <rFont val="Arial"/>
        <family val="2"/>
      </rPr>
      <t>Note:</t>
    </r>
    <r>
      <rPr>
        <sz val="10"/>
        <color theme="1"/>
        <rFont val="Arial"/>
        <family val="2"/>
      </rPr>
      <t xml:space="preserve">  Inventory will decrease over time as older higher emission equipment is replaced with newer lower emission equipment.</t>
    </r>
  </si>
  <si>
    <t>Total Emissions Inventory (tons/year)</t>
  </si>
  <si>
    <t>Reductions Per Avg Project  (lbs/yr)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</si>
</sst>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&quot;$&quot;#,##0"/>
    <numFmt numFmtId="165" formatCode="0.0"/>
    <numFmt numFmtId="166" formatCode="0.000%"/>
  </numFmts>
  <fonts count="5" x14ac:knownFonts="1"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</font>
    <font>
      <i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3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wrapText="1"/>
    </xf>
    <xf numFmtId="3" fontId="0" fillId="0" borderId="1" xfId="0" applyNumberFormat="1" applyBorder="1"/>
    <xf numFmtId="0" fontId="0" fillId="0" borderId="1" xfId="0" applyBorder="1" applyAlignment="1">
      <alignment horizontal="right" wrapText="1"/>
    </xf>
    <xf numFmtId="0" fontId="0" fillId="0" borderId="2" xfId="0" applyBorder="1"/>
    <xf numFmtId="3" fontId="0" fillId="0" borderId="3" xfId="0" applyNumberFormat="1" applyBorder="1"/>
    <xf numFmtId="0" fontId="0" fillId="0" borderId="3" xfId="0" applyBorder="1"/>
    <xf numFmtId="0" fontId="0" fillId="0" borderId="2" xfId="0" applyBorder="1" applyAlignment="1">
      <alignment wrapText="1"/>
    </xf>
    <xf numFmtId="2" fontId="0" fillId="0" borderId="1" xfId="0" applyNumberFormat="1" applyBorder="1"/>
    <xf numFmtId="0" fontId="0" fillId="0" borderId="4" xfId="0" applyBorder="1"/>
    <xf numFmtId="166" fontId="0" fillId="0" borderId="1" xfId="0" applyNumberFormat="1" applyBorder="1"/>
    <xf numFmtId="0" fontId="0" fillId="0" borderId="0" xfId="0" applyFont="1"/>
    <xf numFmtId="165" fontId="0" fillId="0" borderId="1" xfId="0" applyNumberFormat="1" applyBorder="1"/>
    <xf numFmtId="0" fontId="0" fillId="0" borderId="0" xfId="0" applyBorder="1"/>
    <xf numFmtId="165" fontId="0" fillId="0" borderId="0" xfId="0" applyNumberFormat="1" applyBorder="1"/>
    <xf numFmtId="0" fontId="0" fillId="0" borderId="0" xfId="0" applyFill="1" applyBorder="1"/>
    <xf numFmtId="1" fontId="0" fillId="0" borderId="1" xfId="0" applyNumberFormat="1" applyBorder="1"/>
    <xf numFmtId="0" fontId="0" fillId="0" borderId="1" xfId="0" applyFill="1" applyBorder="1" applyAlignment="1">
      <alignment horizontal="right" wrapText="1"/>
    </xf>
    <xf numFmtId="164" fontId="2" fillId="0" borderId="0" xfId="0" applyNumberFormat="1" applyFont="1" applyBorder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6" fontId="0" fillId="0" borderId="1" xfId="0" applyNumberForma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2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6" fontId="0" fillId="0" borderId="0" xfId="0" applyNumberFormat="1" applyBorder="1" applyAlignment="1">
      <alignment vertical="center" wrapText="1"/>
    </xf>
    <xf numFmtId="2" fontId="0" fillId="0" borderId="0" xfId="0" applyNumberFormat="1"/>
    <xf numFmtId="0" fontId="3" fillId="0" borderId="0" xfId="0" applyFont="1" applyAlignment="1">
      <alignment vertical="center"/>
    </xf>
    <xf numFmtId="2" fontId="0" fillId="0" borderId="1" xfId="0" applyNumberFormat="1" applyBorder="1" applyAlignment="1">
      <alignment horizontal="center" wrapText="1"/>
    </xf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I5" sqref="I5"/>
    </sheetView>
  </sheetViews>
  <sheetFormatPr defaultRowHeight="12.75" x14ac:dyDescent="0.2"/>
  <cols>
    <col min="1" max="1" width="25.42578125" customWidth="1"/>
    <col min="2" max="2" width="15.5703125" customWidth="1"/>
    <col min="3" max="3" width="13.5703125" customWidth="1"/>
    <col min="4" max="4" width="14.140625" customWidth="1"/>
    <col min="5" max="5" width="14.42578125" style="39" customWidth="1"/>
    <col min="6" max="6" width="10.140625" bestFit="1" customWidth="1"/>
  </cols>
  <sheetData>
    <row r="1" spans="1:7" ht="18.75" x14ac:dyDescent="0.2">
      <c r="A1" s="40" t="s">
        <v>96</v>
      </c>
    </row>
    <row r="2" spans="1:7" ht="18.75" x14ac:dyDescent="0.2">
      <c r="A2" s="40" t="s">
        <v>97</v>
      </c>
    </row>
    <row r="3" spans="1:7" x14ac:dyDescent="0.2">
      <c r="F3" s="42">
        <v>41604</v>
      </c>
    </row>
    <row r="4" spans="1:7" x14ac:dyDescent="0.2">
      <c r="A4" s="27" t="s">
        <v>26</v>
      </c>
    </row>
    <row r="5" spans="1:7" s="5" customFormat="1" ht="51" x14ac:dyDescent="0.2">
      <c r="A5" s="8" t="s">
        <v>29</v>
      </c>
      <c r="B5" s="31" t="s">
        <v>30</v>
      </c>
      <c r="C5" s="31" t="s">
        <v>101</v>
      </c>
      <c r="D5" s="31" t="s">
        <v>31</v>
      </c>
      <c r="E5" s="41" t="s">
        <v>102</v>
      </c>
      <c r="F5" s="31" t="s">
        <v>89</v>
      </c>
      <c r="G5" s="31" t="s">
        <v>90</v>
      </c>
    </row>
    <row r="6" spans="1:7" s="26" customFormat="1" ht="25.5" x14ac:dyDescent="0.2">
      <c r="A6" s="27" t="s">
        <v>52</v>
      </c>
      <c r="B6" s="28">
        <f>Documentation!$C$98</f>
        <v>1224.104172619278</v>
      </c>
      <c r="C6" s="29">
        <f>Documentation!$J$39</f>
        <v>309.88417264821032</v>
      </c>
      <c r="D6" s="32" t="s">
        <v>66</v>
      </c>
      <c r="E6" s="29">
        <f>Documentation!$J$70</f>
        <v>308.02633994126285</v>
      </c>
      <c r="F6" s="28">
        <v>62830</v>
      </c>
      <c r="G6" s="27">
        <v>10</v>
      </c>
    </row>
    <row r="7" spans="1:7" s="26" customFormat="1" x14ac:dyDescent="0.2">
      <c r="A7" s="34"/>
      <c r="B7" s="35"/>
      <c r="C7" s="36"/>
      <c r="D7" s="37"/>
      <c r="E7" s="36"/>
      <c r="F7" s="38"/>
      <c r="G7" s="34"/>
    </row>
    <row r="8" spans="1:7" s="26" customFormat="1" x14ac:dyDescent="0.2">
      <c r="A8" s="34"/>
      <c r="B8" s="35"/>
      <c r="C8" s="36"/>
      <c r="D8" s="37"/>
      <c r="E8" s="36"/>
      <c r="F8" s="38"/>
      <c r="G8" s="34"/>
    </row>
    <row r="10" spans="1:7" x14ac:dyDescent="0.2">
      <c r="A10" s="27" t="s">
        <v>25</v>
      </c>
    </row>
    <row r="11" spans="1:7" ht="51" x14ac:dyDescent="0.2">
      <c r="A11" s="8" t="s">
        <v>29</v>
      </c>
      <c r="B11" s="31" t="s">
        <v>30</v>
      </c>
      <c r="C11" s="31" t="s">
        <v>101</v>
      </c>
      <c r="D11" s="31" t="s">
        <v>31</v>
      </c>
      <c r="E11" s="41" t="s">
        <v>102</v>
      </c>
      <c r="F11" s="31" t="s">
        <v>89</v>
      </c>
      <c r="G11" s="31" t="s">
        <v>90</v>
      </c>
    </row>
    <row r="12" spans="1:7" s="26" customFormat="1" ht="25.5" x14ac:dyDescent="0.2">
      <c r="A12" s="27" t="s">
        <v>52</v>
      </c>
      <c r="B12" s="28">
        <f>Documentation!$D$98</f>
        <v>15784.501173248585</v>
      </c>
      <c r="C12" s="29">
        <f>Documentation!$K$39</f>
        <v>26.874068694741183</v>
      </c>
      <c r="D12" s="32" t="s">
        <v>66</v>
      </c>
      <c r="E12" s="29">
        <f>Documentation!$K$70</f>
        <v>23.887756975036709</v>
      </c>
      <c r="F12" s="28">
        <v>62830</v>
      </c>
      <c r="G12" s="27">
        <v>10</v>
      </c>
    </row>
    <row r="14" spans="1:7" x14ac:dyDescent="0.2">
      <c r="A14" s="27" t="s">
        <v>27</v>
      </c>
    </row>
    <row r="15" spans="1:7" ht="51" x14ac:dyDescent="0.2">
      <c r="A15" s="8" t="s">
        <v>29</v>
      </c>
      <c r="B15" s="31" t="s">
        <v>30</v>
      </c>
      <c r="C15" s="31" t="s">
        <v>101</v>
      </c>
      <c r="D15" s="31" t="s">
        <v>31</v>
      </c>
      <c r="E15" s="41" t="s">
        <v>102</v>
      </c>
      <c r="F15" s="31" t="s">
        <v>89</v>
      </c>
      <c r="G15" s="31" t="s">
        <v>90</v>
      </c>
    </row>
    <row r="16" spans="1:7" s="26" customFormat="1" ht="25.5" x14ac:dyDescent="0.2">
      <c r="A16" s="27" t="s">
        <v>52</v>
      </c>
      <c r="B16" s="30">
        <f>Documentation!$E$98</f>
        <v>30602.604315481949</v>
      </c>
      <c r="C16" s="29">
        <f>Documentation!$L$39</f>
        <v>12.224133901855724</v>
      </c>
      <c r="D16" s="32" t="s">
        <v>66</v>
      </c>
      <c r="E16" s="29">
        <f>Documentation!$L$70</f>
        <v>12.321053597650513</v>
      </c>
      <c r="F16" s="28">
        <v>62830</v>
      </c>
      <c r="G16" s="27">
        <v>10</v>
      </c>
    </row>
    <row r="21" spans="1:1" x14ac:dyDescent="0.2">
      <c r="A21" s="33" t="s">
        <v>100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workbookViewId="0">
      <selection activeCell="P69" sqref="P69"/>
    </sheetView>
  </sheetViews>
  <sheetFormatPr defaultRowHeight="12.75" x14ac:dyDescent="0.2"/>
  <cols>
    <col min="1" max="1" width="14.7109375" customWidth="1"/>
    <col min="2" max="2" width="11.28515625" bestFit="1" customWidth="1"/>
    <col min="3" max="4" width="10.140625" bestFit="1" customWidth="1"/>
    <col min="5" max="5" width="9.28515625" bestFit="1" customWidth="1"/>
    <col min="6" max="6" width="11.28515625" bestFit="1" customWidth="1"/>
    <col min="7" max="8" width="9.28515625" bestFit="1" customWidth="1"/>
    <col min="9" max="9" width="10.140625" bestFit="1" customWidth="1"/>
    <col min="10" max="10" width="12.140625" bestFit="1" customWidth="1"/>
    <col min="12" max="12" width="10" bestFit="1" customWidth="1"/>
  </cols>
  <sheetData>
    <row r="1" spans="1:7" ht="15.75" x14ac:dyDescent="0.25">
      <c r="A1" s="6" t="s">
        <v>34</v>
      </c>
    </row>
    <row r="3" spans="1:7" x14ac:dyDescent="0.2">
      <c r="A3" s="7" t="s">
        <v>35</v>
      </c>
    </row>
    <row r="5" spans="1:7" x14ac:dyDescent="0.2">
      <c r="A5" t="s">
        <v>55</v>
      </c>
    </row>
    <row r="6" spans="1:7" x14ac:dyDescent="0.2">
      <c r="A6" t="s">
        <v>54</v>
      </c>
    </row>
    <row r="7" spans="1:7" x14ac:dyDescent="0.2">
      <c r="A7" t="s">
        <v>98</v>
      </c>
    </row>
    <row r="8" spans="1:7" x14ac:dyDescent="0.2">
      <c r="A8" t="s">
        <v>56</v>
      </c>
    </row>
    <row r="10" spans="1:7" x14ac:dyDescent="0.2">
      <c r="A10" t="s">
        <v>91</v>
      </c>
    </row>
    <row r="12" spans="1:7" x14ac:dyDescent="0.2">
      <c r="A12" t="s">
        <v>57</v>
      </c>
    </row>
    <row r="13" spans="1:7" x14ac:dyDescent="0.2">
      <c r="A13" t="s">
        <v>58</v>
      </c>
    </row>
    <row r="15" spans="1:7" s="5" customFormat="1" ht="51" x14ac:dyDescent="0.2">
      <c r="A15" s="8" t="s">
        <v>36</v>
      </c>
      <c r="B15" s="8" t="s">
        <v>38</v>
      </c>
      <c r="C15" s="8" t="s">
        <v>1</v>
      </c>
      <c r="D15" s="8" t="s">
        <v>37</v>
      </c>
      <c r="E15" s="8" t="s">
        <v>59</v>
      </c>
      <c r="F15" s="8" t="s">
        <v>14</v>
      </c>
      <c r="G15" s="8" t="s">
        <v>2</v>
      </c>
    </row>
    <row r="16" spans="1:7" x14ac:dyDescent="0.2">
      <c r="B16" s="2" t="s">
        <v>39</v>
      </c>
      <c r="C16" s="2">
        <v>39</v>
      </c>
      <c r="D16" s="2">
        <v>43932</v>
      </c>
      <c r="E16" s="17">
        <v>1.2999999999999999E-2</v>
      </c>
      <c r="F16" s="9">
        <f>D16*E16</f>
        <v>571.11599999999999</v>
      </c>
      <c r="G16" s="2">
        <v>16</v>
      </c>
    </row>
    <row r="17" spans="1:7" x14ac:dyDescent="0.2">
      <c r="B17" s="2" t="s">
        <v>40</v>
      </c>
      <c r="C17" s="2">
        <v>83</v>
      </c>
      <c r="D17" s="2">
        <v>50809</v>
      </c>
      <c r="E17" s="17">
        <v>1.2999999999999999E-2</v>
      </c>
      <c r="F17" s="9">
        <f t="shared" ref="F17:F20" si="0">D17*E17</f>
        <v>660.51699999999994</v>
      </c>
      <c r="G17" s="2">
        <v>16</v>
      </c>
    </row>
    <row r="18" spans="1:7" x14ac:dyDescent="0.2">
      <c r="B18" s="2" t="s">
        <v>41</v>
      </c>
      <c r="C18" s="2">
        <v>142</v>
      </c>
      <c r="D18" s="2">
        <v>28614</v>
      </c>
      <c r="E18" s="17">
        <v>1.2999999999999999E-2</v>
      </c>
      <c r="F18" s="9">
        <f t="shared" si="0"/>
        <v>371.98199999999997</v>
      </c>
      <c r="G18" s="2">
        <v>16</v>
      </c>
    </row>
    <row r="19" spans="1:7" x14ac:dyDescent="0.2">
      <c r="B19" s="2" t="s">
        <v>42</v>
      </c>
      <c r="C19" s="2">
        <v>203</v>
      </c>
      <c r="D19" s="2">
        <v>18483</v>
      </c>
      <c r="E19" s="17">
        <v>1.2999999999999999E-2</v>
      </c>
      <c r="F19" s="9">
        <f t="shared" si="0"/>
        <v>240.279</v>
      </c>
      <c r="G19" s="2">
        <v>16</v>
      </c>
    </row>
    <row r="20" spans="1:7" x14ac:dyDescent="0.2">
      <c r="B20" s="2" t="s">
        <v>43</v>
      </c>
      <c r="C20" s="2">
        <v>332</v>
      </c>
      <c r="D20" s="2">
        <v>3671</v>
      </c>
      <c r="E20" s="17">
        <v>1.2999999999999999E-2</v>
      </c>
      <c r="F20" s="9">
        <f t="shared" si="0"/>
        <v>47.722999999999999</v>
      </c>
      <c r="G20" s="2">
        <v>16</v>
      </c>
    </row>
    <row r="21" spans="1:7" x14ac:dyDescent="0.2">
      <c r="D21" s="11" t="s">
        <v>46</v>
      </c>
      <c r="E21" s="13"/>
      <c r="F21" s="9">
        <f>SUM(F16:F20)</f>
        <v>1891.6169999999997</v>
      </c>
    </row>
    <row r="22" spans="1:7" x14ac:dyDescent="0.2">
      <c r="F22" s="4"/>
    </row>
    <row r="23" spans="1:7" x14ac:dyDescent="0.2">
      <c r="A23" t="s">
        <v>44</v>
      </c>
      <c r="F23" s="4"/>
    </row>
    <row r="24" spans="1:7" x14ac:dyDescent="0.2">
      <c r="E24" s="4"/>
    </row>
    <row r="25" spans="1:7" ht="25.5" x14ac:dyDescent="0.2">
      <c r="A25" s="8" t="s">
        <v>36</v>
      </c>
      <c r="B25" s="10" t="str">
        <f>C15</f>
        <v>Avg HP</v>
      </c>
      <c r="C25" s="10" t="str">
        <f>F15</f>
        <v>Equip in SB Co.</v>
      </c>
      <c r="D25" s="10" t="s">
        <v>28</v>
      </c>
      <c r="G25" s="5"/>
    </row>
    <row r="26" spans="1:7" x14ac:dyDescent="0.2">
      <c r="B26" s="8">
        <f t="shared" ref="B26:B30" si="1">C16</f>
        <v>39</v>
      </c>
      <c r="C26" s="9">
        <f t="shared" ref="C26:C30" si="2">F16</f>
        <v>571.11599999999999</v>
      </c>
      <c r="D26" s="9">
        <f>F16*C16</f>
        <v>22273.523999999998</v>
      </c>
    </row>
    <row r="27" spans="1:7" x14ac:dyDescent="0.2">
      <c r="B27" s="8">
        <f t="shared" si="1"/>
        <v>83</v>
      </c>
      <c r="C27" s="9">
        <f t="shared" si="2"/>
        <v>660.51699999999994</v>
      </c>
      <c r="D27" s="9">
        <f>F17*C17</f>
        <v>54822.910999999993</v>
      </c>
    </row>
    <row r="28" spans="1:7" x14ac:dyDescent="0.2">
      <c r="B28" s="8">
        <f t="shared" si="1"/>
        <v>142</v>
      </c>
      <c r="C28" s="9">
        <f t="shared" si="2"/>
        <v>371.98199999999997</v>
      </c>
      <c r="D28" s="9">
        <f>F18*C18</f>
        <v>52821.443999999996</v>
      </c>
    </row>
    <row r="29" spans="1:7" x14ac:dyDescent="0.2">
      <c r="B29" s="8">
        <f t="shared" si="1"/>
        <v>203</v>
      </c>
      <c r="C29" s="9">
        <f t="shared" si="2"/>
        <v>240.279</v>
      </c>
      <c r="D29" s="9">
        <f>F19*C19</f>
        <v>48776.637000000002</v>
      </c>
    </row>
    <row r="30" spans="1:7" x14ac:dyDescent="0.2">
      <c r="B30" s="8">
        <f t="shared" si="1"/>
        <v>332</v>
      </c>
      <c r="C30" s="9">
        <f t="shared" si="2"/>
        <v>47.722999999999999</v>
      </c>
      <c r="D30" s="9">
        <f>F20*C20</f>
        <v>15844.036</v>
      </c>
    </row>
    <row r="31" spans="1:7" x14ac:dyDescent="0.2">
      <c r="B31" s="11" t="s">
        <v>45</v>
      </c>
      <c r="C31" s="12"/>
      <c r="D31" s="9">
        <f>SUM(D26:D30)/F21</f>
        <v>102.84246335278232</v>
      </c>
    </row>
    <row r="32" spans="1:7" x14ac:dyDescent="0.2">
      <c r="E32" s="4"/>
    </row>
    <row r="33" spans="1:12" x14ac:dyDescent="0.2">
      <c r="A33" t="s">
        <v>60</v>
      </c>
      <c r="E33" s="4"/>
    </row>
    <row r="34" spans="1:12" x14ac:dyDescent="0.2">
      <c r="E34" s="4"/>
    </row>
    <row r="35" spans="1:12" s="5" customFormat="1" ht="38.25" x14ac:dyDescent="0.2">
      <c r="A35" s="14" t="s">
        <v>36</v>
      </c>
      <c r="B35" s="10" t="s">
        <v>0</v>
      </c>
      <c r="C35" s="10" t="s">
        <v>50</v>
      </c>
      <c r="D35" s="10" t="s">
        <v>51</v>
      </c>
      <c r="E35" s="10" t="s">
        <v>3</v>
      </c>
      <c r="F35" s="10" t="s">
        <v>19</v>
      </c>
      <c r="G35" s="10" t="s">
        <v>23</v>
      </c>
      <c r="H35" s="10" t="s">
        <v>93</v>
      </c>
      <c r="I35" s="10" t="s">
        <v>24</v>
      </c>
      <c r="J35" s="10" t="s">
        <v>47</v>
      </c>
      <c r="K35" s="10" t="s">
        <v>48</v>
      </c>
      <c r="L35" s="10" t="s">
        <v>49</v>
      </c>
    </row>
    <row r="36" spans="1:12" x14ac:dyDescent="0.2">
      <c r="B36" s="2">
        <v>103</v>
      </c>
      <c r="C36" s="9">
        <f>$F$21/3</f>
        <v>630.53899999999987</v>
      </c>
      <c r="D36" s="2">
        <v>0.7</v>
      </c>
      <c r="E36" s="2">
        <v>475</v>
      </c>
      <c r="F36" s="2">
        <v>1</v>
      </c>
      <c r="G36" s="2">
        <v>6.54</v>
      </c>
      <c r="H36" s="2">
        <v>0.82</v>
      </c>
      <c r="I36" s="2">
        <v>0.27400000000000002</v>
      </c>
      <c r="J36" s="15">
        <f>$B36*$C36*$D36*$E36*G36/(454*2000)</f>
        <v>155.5366453660242</v>
      </c>
      <c r="K36" s="15">
        <f t="shared" ref="K36:K38" si="3">$B36*$C36*$D36*$E36*H36/(454*2000)</f>
        <v>19.501536574944929</v>
      </c>
      <c r="L36" s="15">
        <f t="shared" ref="L36:L38" si="4">$B36*$C36*$D36*$E36*I36/(454*2000)</f>
        <v>6.5163670994328182</v>
      </c>
    </row>
    <row r="37" spans="1:12" x14ac:dyDescent="0.2">
      <c r="B37" s="2">
        <v>103</v>
      </c>
      <c r="C37" s="9">
        <f>$F$21/3</f>
        <v>630.53899999999987</v>
      </c>
      <c r="D37" s="2">
        <v>0.7</v>
      </c>
      <c r="E37" s="2">
        <v>475</v>
      </c>
      <c r="F37" s="2">
        <v>2</v>
      </c>
      <c r="G37" s="2">
        <v>4.17</v>
      </c>
      <c r="H37" s="2">
        <v>0.19</v>
      </c>
      <c r="I37" s="2">
        <v>0.128</v>
      </c>
      <c r="J37" s="15">
        <f t="shared" ref="J37:J38" si="5">$B37*$C37*$D37*$E37*G37/(454*2000)</f>
        <v>99.172448192098003</v>
      </c>
      <c r="K37" s="15">
        <f t="shared" si="3"/>
        <v>4.5186487185848012</v>
      </c>
      <c r="L37" s="15">
        <f t="shared" si="4"/>
        <v>3.0441422946255501</v>
      </c>
    </row>
    <row r="38" spans="1:12" x14ac:dyDescent="0.2">
      <c r="B38" s="2">
        <v>103</v>
      </c>
      <c r="C38" s="9">
        <f>$F$21/3</f>
        <v>630.53899999999987</v>
      </c>
      <c r="D38" s="2">
        <v>0.7</v>
      </c>
      <c r="E38" s="2">
        <v>475</v>
      </c>
      <c r="F38" s="2">
        <v>3</v>
      </c>
      <c r="G38" s="2">
        <v>2.3199999999999998</v>
      </c>
      <c r="H38" s="2">
        <v>0.12</v>
      </c>
      <c r="I38" s="2">
        <v>0.112</v>
      </c>
      <c r="J38" s="15">
        <f t="shared" si="5"/>
        <v>55.17507909008809</v>
      </c>
      <c r="K38" s="15">
        <f t="shared" si="3"/>
        <v>2.8538834012114531</v>
      </c>
      <c r="L38" s="15">
        <f t="shared" si="4"/>
        <v>2.6636245077973562</v>
      </c>
    </row>
    <row r="39" spans="1:12" x14ac:dyDescent="0.2">
      <c r="E39" s="4"/>
      <c r="F39" s="11" t="s">
        <v>18</v>
      </c>
      <c r="G39" s="16"/>
      <c r="H39" s="16"/>
      <c r="I39" s="13"/>
      <c r="J39" s="15">
        <f>SUM(J36:J38)</f>
        <v>309.88417264821032</v>
      </c>
      <c r="K39" s="15">
        <f>SUM(K36:K38)</f>
        <v>26.874068694741183</v>
      </c>
      <c r="L39" s="15">
        <f>SUM(L36:L38)</f>
        <v>12.224133901855724</v>
      </c>
    </row>
    <row r="40" spans="1:12" x14ac:dyDescent="0.2">
      <c r="E40" s="4"/>
    </row>
    <row r="41" spans="1:12" x14ac:dyDescent="0.2">
      <c r="A41" t="s">
        <v>53</v>
      </c>
      <c r="B41" t="s">
        <v>61</v>
      </c>
      <c r="E41" s="4"/>
    </row>
    <row r="42" spans="1:12" x14ac:dyDescent="0.2">
      <c r="B42" t="s">
        <v>62</v>
      </c>
      <c r="E42" s="4"/>
    </row>
    <row r="43" spans="1:12" x14ac:dyDescent="0.2">
      <c r="B43" t="s">
        <v>63</v>
      </c>
      <c r="E43" s="4"/>
    </row>
    <row r="44" spans="1:12" x14ac:dyDescent="0.2">
      <c r="E44" s="4"/>
    </row>
    <row r="45" spans="1:12" x14ac:dyDescent="0.2">
      <c r="A45" s="7" t="s">
        <v>64</v>
      </c>
    </row>
    <row r="46" spans="1:12" x14ac:dyDescent="0.2">
      <c r="A46" s="7"/>
    </row>
    <row r="47" spans="1:12" x14ac:dyDescent="0.2">
      <c r="A47" s="18" t="s">
        <v>65</v>
      </c>
    </row>
    <row r="48" spans="1:12" x14ac:dyDescent="0.2">
      <c r="A48" s="18" t="s">
        <v>92</v>
      </c>
    </row>
    <row r="49" spans="1:5" x14ac:dyDescent="0.2">
      <c r="A49" s="18"/>
    </row>
    <row r="50" spans="1:5" x14ac:dyDescent="0.2">
      <c r="A50" s="18"/>
      <c r="B50" s="2" t="s">
        <v>4</v>
      </c>
      <c r="C50" s="2" t="s">
        <v>0</v>
      </c>
      <c r="D50" s="2" t="s">
        <v>5</v>
      </c>
      <c r="E50" s="2" t="s">
        <v>6</v>
      </c>
    </row>
    <row r="51" spans="1:5" x14ac:dyDescent="0.2">
      <c r="A51" s="18"/>
      <c r="B51" s="2" t="s">
        <v>7</v>
      </c>
      <c r="C51" s="2">
        <v>245</v>
      </c>
      <c r="D51" s="3">
        <v>200000</v>
      </c>
      <c r="E51" s="3">
        <f t="shared" ref="E51:E56" si="6">D51/C51</f>
        <v>816.32653061224494</v>
      </c>
    </row>
    <row r="52" spans="1:5" x14ac:dyDescent="0.2">
      <c r="A52" s="18"/>
      <c r="B52" s="2" t="s">
        <v>8</v>
      </c>
      <c r="C52" s="2">
        <v>360</v>
      </c>
      <c r="D52" s="3">
        <v>300000</v>
      </c>
      <c r="E52" s="3">
        <f t="shared" si="6"/>
        <v>833.33333333333337</v>
      </c>
    </row>
    <row r="53" spans="1:5" x14ac:dyDescent="0.2">
      <c r="A53" s="18"/>
      <c r="B53" s="2" t="s">
        <v>9</v>
      </c>
      <c r="C53" s="2">
        <v>105</v>
      </c>
      <c r="D53" s="3">
        <v>60000</v>
      </c>
      <c r="E53" s="3">
        <f t="shared" si="6"/>
        <v>571.42857142857144</v>
      </c>
    </row>
    <row r="54" spans="1:5" x14ac:dyDescent="0.2">
      <c r="A54" s="18"/>
      <c r="B54" s="2" t="s">
        <v>10</v>
      </c>
      <c r="C54" s="2">
        <v>170</v>
      </c>
      <c r="D54" s="3">
        <v>170000</v>
      </c>
      <c r="E54" s="3">
        <f t="shared" si="6"/>
        <v>1000</v>
      </c>
    </row>
    <row r="55" spans="1:5" x14ac:dyDescent="0.2">
      <c r="A55" s="18"/>
      <c r="B55" s="2" t="s">
        <v>11</v>
      </c>
      <c r="C55" s="2">
        <v>45</v>
      </c>
      <c r="D55" s="3">
        <v>34000</v>
      </c>
      <c r="E55" s="3">
        <f t="shared" si="6"/>
        <v>755.55555555555554</v>
      </c>
    </row>
    <row r="56" spans="1:5" x14ac:dyDescent="0.2">
      <c r="A56" s="18"/>
      <c r="B56" s="2" t="s">
        <v>12</v>
      </c>
      <c r="C56" s="2">
        <v>83</v>
      </c>
      <c r="D56" s="3">
        <v>50000</v>
      </c>
      <c r="E56" s="3">
        <f t="shared" si="6"/>
        <v>602.40963855421683</v>
      </c>
    </row>
    <row r="57" spans="1:5" x14ac:dyDescent="0.2">
      <c r="B57" s="2" t="s">
        <v>13</v>
      </c>
      <c r="C57" s="2"/>
      <c r="D57" s="2"/>
      <c r="E57" s="3">
        <f>AVERAGE(E51:E56)</f>
        <v>763.17560491398706</v>
      </c>
    </row>
    <row r="59" spans="1:5" x14ac:dyDescent="0.2">
      <c r="A59" t="s">
        <v>67</v>
      </c>
    </row>
    <row r="61" spans="1:5" x14ac:dyDescent="0.2">
      <c r="A61" s="7" t="s">
        <v>68</v>
      </c>
    </row>
    <row r="62" spans="1:5" x14ac:dyDescent="0.2">
      <c r="A62" s="7"/>
    </row>
    <row r="63" spans="1:5" x14ac:dyDescent="0.2">
      <c r="A63" s="18" t="s">
        <v>71</v>
      </c>
    </row>
    <row r="64" spans="1:5" x14ac:dyDescent="0.2">
      <c r="A64" s="7"/>
    </row>
    <row r="66" spans="1:12" s="5" customFormat="1" ht="38.25" x14ac:dyDescent="0.2">
      <c r="B66" s="8" t="s">
        <v>0</v>
      </c>
      <c r="C66" s="8" t="s">
        <v>69</v>
      </c>
      <c r="D66" s="8" t="s">
        <v>23</v>
      </c>
      <c r="E66" s="8" t="s">
        <v>93</v>
      </c>
      <c r="F66" s="8" t="s">
        <v>24</v>
      </c>
      <c r="G66" s="8" t="s">
        <v>20</v>
      </c>
      <c r="H66" s="8" t="s">
        <v>22</v>
      </c>
      <c r="I66" s="8" t="s">
        <v>21</v>
      </c>
      <c r="J66" s="8" t="s">
        <v>15</v>
      </c>
      <c r="K66" s="8" t="s">
        <v>16</v>
      </c>
      <c r="L66" s="8" t="s">
        <v>17</v>
      </c>
    </row>
    <row r="67" spans="1:12" x14ac:dyDescent="0.2">
      <c r="B67" s="2">
        <v>103</v>
      </c>
      <c r="C67" s="2">
        <v>1</v>
      </c>
      <c r="D67" s="2">
        <v>6.54</v>
      </c>
      <c r="E67" s="2">
        <v>0.82</v>
      </c>
      <c r="F67" s="2">
        <v>0.27400000000000002</v>
      </c>
      <c r="G67" s="2">
        <v>0.26</v>
      </c>
      <c r="H67" s="2">
        <v>0.06</v>
      </c>
      <c r="I67" s="2">
        <v>8.0000000000000002E-3</v>
      </c>
      <c r="J67" s="19">
        <f>$B67*$E$37*$D$37*(D67-G67)/454</f>
        <v>473.73193832599122</v>
      </c>
      <c r="K67" s="19">
        <f t="shared" ref="J67:L69" si="7">$B67*$E$37*$D$37*(E67-H67)/454</f>
        <v>57.330616740088104</v>
      </c>
      <c r="L67" s="19">
        <f t="shared" si="7"/>
        <v>20.065715859030838</v>
      </c>
    </row>
    <row r="68" spans="1:12" x14ac:dyDescent="0.2">
      <c r="B68" s="2">
        <v>103</v>
      </c>
      <c r="C68" s="2">
        <v>2</v>
      </c>
      <c r="D68" s="2">
        <v>4.17</v>
      </c>
      <c r="E68" s="2">
        <v>0.19</v>
      </c>
      <c r="F68" s="2">
        <v>0.128</v>
      </c>
      <c r="G68" s="2">
        <v>0.26</v>
      </c>
      <c r="H68" s="2">
        <v>0.06</v>
      </c>
      <c r="I68" s="2">
        <v>8.0000000000000002E-3</v>
      </c>
      <c r="J68" s="19">
        <f t="shared" si="7"/>
        <v>294.95093612334801</v>
      </c>
      <c r="K68" s="19">
        <f t="shared" si="7"/>
        <v>9.8065528634361243</v>
      </c>
      <c r="L68" s="19">
        <f t="shared" si="7"/>
        <v>9.052202643171805</v>
      </c>
    </row>
    <row r="69" spans="1:12" x14ac:dyDescent="0.2">
      <c r="B69" s="2">
        <v>103</v>
      </c>
      <c r="C69" s="2">
        <v>3</v>
      </c>
      <c r="D69" s="2">
        <v>2.3199999999999998</v>
      </c>
      <c r="E69" s="2">
        <v>0.12</v>
      </c>
      <c r="F69" s="2">
        <v>0.112</v>
      </c>
      <c r="G69" s="2">
        <v>0.26</v>
      </c>
      <c r="H69" s="2">
        <v>0.06</v>
      </c>
      <c r="I69" s="2">
        <v>8.0000000000000002E-3</v>
      </c>
      <c r="J69" s="19">
        <f t="shared" si="7"/>
        <v>155.39614537444933</v>
      </c>
      <c r="K69" s="19">
        <f t="shared" si="7"/>
        <v>4.5261013215859025</v>
      </c>
      <c r="L69" s="19">
        <f t="shared" si="7"/>
        <v>7.8452422907488994</v>
      </c>
    </row>
    <row r="70" spans="1:12" x14ac:dyDescent="0.2">
      <c r="B70" s="11" t="s">
        <v>70</v>
      </c>
      <c r="C70" s="16"/>
      <c r="D70" s="16"/>
      <c r="E70" s="16"/>
      <c r="F70" s="16"/>
      <c r="G70" s="16"/>
      <c r="H70" s="16"/>
      <c r="I70" s="13"/>
      <c r="J70" s="19">
        <f>AVERAGE(J67:J69)</f>
        <v>308.02633994126285</v>
      </c>
      <c r="K70" s="19">
        <f>AVERAGE(K67:K69)</f>
        <v>23.887756975036709</v>
      </c>
      <c r="L70" s="19">
        <f>AVERAGE(L67:L69)</f>
        <v>12.321053597650513</v>
      </c>
    </row>
    <row r="71" spans="1:12" x14ac:dyDescent="0.2">
      <c r="B71" s="20"/>
      <c r="C71" s="20"/>
      <c r="D71" s="20"/>
      <c r="E71" s="20"/>
      <c r="F71" s="20"/>
      <c r="G71" s="20"/>
      <c r="H71" s="20"/>
      <c r="I71" s="20"/>
      <c r="J71" s="21"/>
      <c r="K71" s="21"/>
      <c r="L71" s="21"/>
    </row>
    <row r="72" spans="1:12" x14ac:dyDescent="0.2">
      <c r="B72" s="20"/>
      <c r="C72" s="20"/>
      <c r="D72" s="20"/>
      <c r="E72" s="20"/>
      <c r="F72" s="20"/>
      <c r="G72" s="20"/>
      <c r="H72" s="20"/>
      <c r="I72" s="20"/>
      <c r="J72" s="21"/>
      <c r="K72" s="21"/>
      <c r="L72" s="21"/>
    </row>
    <row r="73" spans="1:12" x14ac:dyDescent="0.2">
      <c r="A73" s="7" t="s">
        <v>32</v>
      </c>
      <c r="B73" s="20"/>
      <c r="C73" s="20"/>
      <c r="D73" s="20"/>
      <c r="E73" s="20"/>
      <c r="F73" s="20"/>
      <c r="G73" s="20"/>
      <c r="H73" s="20"/>
      <c r="I73" s="20"/>
      <c r="J73" s="21"/>
      <c r="K73" s="21"/>
      <c r="L73" s="21"/>
    </row>
    <row r="74" spans="1:12" x14ac:dyDescent="0.2">
      <c r="A74" s="18" t="s">
        <v>99</v>
      </c>
      <c r="B74" s="20"/>
      <c r="C74" s="20"/>
      <c r="D74" s="20"/>
      <c r="E74" s="20"/>
      <c r="F74" s="20"/>
      <c r="G74" s="20"/>
      <c r="H74" s="20"/>
      <c r="I74" s="20"/>
      <c r="J74" s="21"/>
      <c r="K74" s="21"/>
      <c r="L74" s="21"/>
    </row>
    <row r="75" spans="1:12" x14ac:dyDescent="0.2">
      <c r="A75" s="7"/>
      <c r="B75" s="20"/>
      <c r="C75" s="20"/>
      <c r="D75" s="20"/>
      <c r="E75" s="20"/>
      <c r="F75" s="20"/>
      <c r="G75" s="20"/>
      <c r="H75" s="20"/>
      <c r="I75" s="20"/>
      <c r="J75" s="21"/>
      <c r="K75" s="21"/>
      <c r="L75" s="21"/>
    </row>
    <row r="76" spans="1:12" x14ac:dyDescent="0.2">
      <c r="A76" s="7"/>
      <c r="B76" s="20"/>
      <c r="C76" s="20"/>
      <c r="D76" s="20"/>
      <c r="E76" s="20"/>
      <c r="F76" s="20"/>
      <c r="G76" s="20"/>
      <c r="H76" s="20"/>
      <c r="I76" s="20"/>
      <c r="J76" s="21"/>
      <c r="K76" s="21"/>
      <c r="L76" s="21"/>
    </row>
    <row r="77" spans="1:12" x14ac:dyDescent="0.2">
      <c r="A77" s="7" t="s">
        <v>33</v>
      </c>
      <c r="B77" s="20"/>
      <c r="C77" s="20"/>
      <c r="D77" s="20"/>
      <c r="E77" s="20"/>
      <c r="F77" s="20"/>
      <c r="G77" s="20"/>
      <c r="H77" s="20"/>
      <c r="I77" s="20"/>
      <c r="J77" s="21"/>
      <c r="K77" s="21"/>
      <c r="L77" s="21"/>
    </row>
    <row r="78" spans="1:12" x14ac:dyDescent="0.2">
      <c r="A78" s="7"/>
      <c r="B78" s="20"/>
      <c r="C78" s="20"/>
      <c r="D78" s="20"/>
      <c r="E78" s="20"/>
      <c r="F78" s="20"/>
      <c r="G78" s="20"/>
      <c r="H78" s="20"/>
      <c r="I78" s="20"/>
      <c r="J78" s="21"/>
      <c r="K78" s="21"/>
      <c r="L78" s="21"/>
    </row>
    <row r="79" spans="1:12" x14ac:dyDescent="0.2">
      <c r="A79" s="18" t="s">
        <v>72</v>
      </c>
      <c r="B79" s="20"/>
      <c r="C79" s="20"/>
      <c r="D79" s="20"/>
      <c r="E79" s="20"/>
      <c r="F79" s="20"/>
      <c r="G79" s="20"/>
      <c r="H79" s="20"/>
      <c r="I79" s="20"/>
      <c r="J79" s="21"/>
      <c r="K79" s="21"/>
      <c r="L79" s="21"/>
    </row>
    <row r="80" spans="1:12" x14ac:dyDescent="0.2">
      <c r="A80" s="18"/>
      <c r="B80" s="20"/>
      <c r="C80" s="20"/>
      <c r="D80" s="20"/>
      <c r="E80" s="20"/>
      <c r="F80" s="20"/>
      <c r="G80" s="20"/>
      <c r="H80" s="20"/>
      <c r="I80" s="20"/>
      <c r="J80" s="21"/>
      <c r="K80" s="21"/>
      <c r="L80" s="21"/>
    </row>
    <row r="81" spans="1:12" x14ac:dyDescent="0.2">
      <c r="A81" s="7" t="s">
        <v>73</v>
      </c>
      <c r="B81" s="20"/>
      <c r="C81" s="20"/>
      <c r="D81" s="20"/>
      <c r="E81" s="20"/>
      <c r="F81" s="20"/>
      <c r="G81" s="20"/>
      <c r="H81" s="20"/>
      <c r="I81" s="20"/>
      <c r="J81" s="21"/>
      <c r="K81" s="21"/>
      <c r="L81" s="21"/>
    </row>
    <row r="82" spans="1:12" x14ac:dyDescent="0.2">
      <c r="A82" s="7"/>
      <c r="B82" s="20"/>
      <c r="C82" s="20"/>
      <c r="D82" s="20"/>
      <c r="E82" s="20"/>
      <c r="F82" s="20"/>
      <c r="G82" s="20"/>
      <c r="H82" s="20"/>
      <c r="I82" s="20"/>
      <c r="J82" s="21"/>
      <c r="K82" s="21"/>
      <c r="L82" s="21"/>
    </row>
    <row r="83" spans="1:12" x14ac:dyDescent="0.2">
      <c r="A83" s="18" t="s">
        <v>94</v>
      </c>
      <c r="B83" s="20"/>
      <c r="C83" s="20"/>
      <c r="D83" s="20"/>
      <c r="E83" s="20"/>
      <c r="F83" s="20"/>
      <c r="G83" s="20"/>
      <c r="H83" s="20"/>
      <c r="I83" s="20"/>
      <c r="J83" s="21"/>
      <c r="K83" s="21"/>
      <c r="L83" s="21"/>
    </row>
    <row r="84" spans="1:12" x14ac:dyDescent="0.2">
      <c r="A84" s="7"/>
      <c r="B84" s="20"/>
      <c r="C84" s="20"/>
      <c r="D84" s="20"/>
      <c r="E84" s="20"/>
      <c r="F84" s="20"/>
      <c r="G84" s="20"/>
      <c r="H84" s="20"/>
      <c r="I84" s="20"/>
      <c r="J84" s="21"/>
      <c r="K84" s="21"/>
      <c r="L84" s="21"/>
    </row>
    <row r="85" spans="1:12" x14ac:dyDescent="0.2">
      <c r="B85" s="20" t="s">
        <v>74</v>
      </c>
      <c r="C85" s="20"/>
      <c r="D85" s="20"/>
      <c r="E85" s="20"/>
      <c r="F85" s="20"/>
      <c r="G85" s="20"/>
      <c r="H85" s="20"/>
      <c r="I85" s="20"/>
      <c r="J85" s="21"/>
      <c r="K85" s="21"/>
      <c r="L85" s="21"/>
    </row>
    <row r="86" spans="1:12" x14ac:dyDescent="0.2">
      <c r="B86" s="20" t="s">
        <v>75</v>
      </c>
      <c r="C86" s="20"/>
      <c r="D86" s="20"/>
      <c r="E86" s="20"/>
      <c r="F86" s="20"/>
      <c r="G86" s="20"/>
      <c r="H86" s="20"/>
      <c r="I86" s="20"/>
      <c r="J86" s="21"/>
      <c r="K86" s="21"/>
      <c r="L86" s="21"/>
    </row>
    <row r="87" spans="1:12" x14ac:dyDescent="0.2">
      <c r="B87" s="20" t="s">
        <v>76</v>
      </c>
      <c r="C87" s="20"/>
      <c r="D87" s="20"/>
      <c r="E87" s="20"/>
      <c r="F87" s="20"/>
      <c r="G87" s="20"/>
      <c r="H87" s="20"/>
      <c r="I87" s="20"/>
      <c r="J87" s="21"/>
      <c r="K87" s="21"/>
      <c r="L87" s="21"/>
    </row>
    <row r="88" spans="1:12" x14ac:dyDescent="0.2">
      <c r="B88" s="22" t="s">
        <v>77</v>
      </c>
      <c r="C88" s="20"/>
      <c r="D88" s="20"/>
      <c r="E88" s="20"/>
      <c r="F88" s="20"/>
      <c r="G88" s="20"/>
      <c r="H88" s="20"/>
      <c r="I88" s="20"/>
      <c r="J88" s="21"/>
      <c r="K88" s="21"/>
      <c r="L88" s="21"/>
    </row>
    <row r="89" spans="1:12" x14ac:dyDescent="0.2">
      <c r="B89" s="22"/>
      <c r="C89" s="20"/>
      <c r="D89" s="20"/>
      <c r="E89" s="20"/>
      <c r="F89" s="20"/>
      <c r="G89" s="20"/>
      <c r="H89" s="20"/>
      <c r="I89" s="20"/>
      <c r="J89" s="21"/>
      <c r="K89" s="21"/>
      <c r="L89" s="21"/>
    </row>
    <row r="90" spans="1:12" ht="51" x14ac:dyDescent="0.2">
      <c r="B90" s="22"/>
      <c r="C90" s="10" t="s">
        <v>78</v>
      </c>
      <c r="D90" s="10" t="s">
        <v>79</v>
      </c>
      <c r="E90" s="10" t="s">
        <v>80</v>
      </c>
      <c r="F90" s="24" t="s">
        <v>81</v>
      </c>
      <c r="G90" s="10" t="s">
        <v>82</v>
      </c>
      <c r="H90" s="10" t="s">
        <v>83</v>
      </c>
      <c r="I90" s="10" t="s">
        <v>84</v>
      </c>
      <c r="J90" s="21"/>
      <c r="K90" s="21"/>
      <c r="L90" s="21"/>
    </row>
    <row r="91" spans="1:12" x14ac:dyDescent="0.2">
      <c r="B91" s="22"/>
      <c r="C91" s="19">
        <f>Documentation!J70</f>
        <v>308.02633994126285</v>
      </c>
      <c r="D91" s="19">
        <f>Documentation!K70</f>
        <v>23.887756975036709</v>
      </c>
      <c r="E91" s="19">
        <f>Documentation!L70</f>
        <v>12.321053597650513</v>
      </c>
      <c r="F91" s="23">
        <f>F21/3</f>
        <v>630.53899999999987</v>
      </c>
      <c r="G91" s="19">
        <f>C91*$F91/2000</f>
        <v>97.111310180111943</v>
      </c>
      <c r="H91" s="19">
        <f>D91*$F91/2000</f>
        <v>7.5310811976413339</v>
      </c>
      <c r="I91" s="19">
        <f>E91*$F91/2000</f>
        <v>3.8844524072044777</v>
      </c>
      <c r="J91" s="21"/>
      <c r="K91" s="21"/>
      <c r="L91" s="21"/>
    </row>
    <row r="92" spans="1:12" x14ac:dyDescent="0.2">
      <c r="B92" s="22"/>
      <c r="C92" s="20"/>
      <c r="D92" s="20"/>
      <c r="E92" s="20"/>
      <c r="F92" s="20"/>
      <c r="G92" s="20"/>
      <c r="H92" s="20"/>
      <c r="I92" s="20"/>
      <c r="J92" s="21"/>
      <c r="K92" s="21"/>
      <c r="L92" s="21"/>
    </row>
    <row r="93" spans="1:12" x14ac:dyDescent="0.2">
      <c r="B93" s="22" t="s">
        <v>85</v>
      </c>
      <c r="C93" s="20"/>
      <c r="D93" s="20"/>
      <c r="E93" s="20"/>
      <c r="F93" s="20"/>
      <c r="G93" s="20"/>
      <c r="H93" s="20"/>
      <c r="I93" s="20"/>
      <c r="J93" s="21"/>
      <c r="K93" s="21"/>
      <c r="L93" s="21"/>
    </row>
    <row r="94" spans="1:12" x14ac:dyDescent="0.2">
      <c r="B94" s="22" t="s">
        <v>86</v>
      </c>
      <c r="C94" s="20"/>
      <c r="D94" s="20"/>
      <c r="E94" s="20"/>
      <c r="F94" s="20"/>
      <c r="G94" s="20"/>
      <c r="H94" s="20"/>
      <c r="I94" s="20"/>
      <c r="J94" s="25">
        <f>1892*62830/1000</f>
        <v>118874.36</v>
      </c>
      <c r="K94" s="21"/>
      <c r="L94" s="21"/>
    </row>
    <row r="95" spans="1:12" x14ac:dyDescent="0.2">
      <c r="B95" s="22"/>
      <c r="C95" s="20"/>
      <c r="D95" s="20"/>
      <c r="E95" s="20"/>
      <c r="F95" s="20"/>
      <c r="G95" s="20"/>
      <c r="H95" s="20"/>
      <c r="I95" s="20"/>
      <c r="J95" s="21"/>
      <c r="K95" s="21"/>
      <c r="L95" s="21"/>
    </row>
    <row r="96" spans="1:12" x14ac:dyDescent="0.2">
      <c r="C96" s="1"/>
      <c r="D96" s="1"/>
      <c r="E96" s="1"/>
      <c r="F96" s="1"/>
    </row>
    <row r="97" spans="3:6" ht="38.25" x14ac:dyDescent="0.2">
      <c r="C97" s="10" t="s">
        <v>87</v>
      </c>
      <c r="D97" s="10" t="s">
        <v>95</v>
      </c>
      <c r="E97" s="10" t="s">
        <v>88</v>
      </c>
      <c r="F97" s="1"/>
    </row>
    <row r="98" spans="3:6" x14ac:dyDescent="0.2">
      <c r="C98" s="3">
        <f>$J94/G91</f>
        <v>1224.104172619278</v>
      </c>
      <c r="D98" s="3">
        <f>$J94/H91</f>
        <v>15784.501173248585</v>
      </c>
      <c r="E98" s="3">
        <f>$J94/I91</f>
        <v>30602.604315481949</v>
      </c>
    </row>
    <row r="101" spans="3:6" x14ac:dyDescent="0.2">
      <c r="C101" s="1"/>
      <c r="D101" s="1"/>
      <c r="E101" s="1"/>
      <c r="F101" s="1"/>
    </row>
    <row r="102" spans="3:6" x14ac:dyDescent="0.2">
      <c r="C102" s="1"/>
      <c r="D102" s="1"/>
      <c r="E102" s="1"/>
      <c r="F102" s="1"/>
    </row>
    <row r="103" spans="3:6" x14ac:dyDescent="0.2">
      <c r="C103" s="1"/>
      <c r="D103" s="1"/>
      <c r="E103" s="1"/>
      <c r="F103" s="1"/>
    </row>
    <row r="104" spans="3:6" x14ac:dyDescent="0.2">
      <c r="C104" s="1"/>
      <c r="D104" s="1"/>
      <c r="E104" s="1"/>
      <c r="F104" s="1"/>
    </row>
    <row r="105" spans="3:6" x14ac:dyDescent="0.2">
      <c r="C105" s="1"/>
      <c r="D105" s="1"/>
      <c r="E105" s="1"/>
      <c r="F105" s="1"/>
    </row>
  </sheetData>
  <pageMargins left="0.45" right="0.4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Documentation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</dc:creator>
  <cp:lastModifiedBy>Michael  F. Goldman</cp:lastModifiedBy>
  <cp:lastPrinted>2013-11-26T19:28:40Z</cp:lastPrinted>
  <dcterms:created xsi:type="dcterms:W3CDTF">2013-10-11T16:54:10Z</dcterms:created>
  <dcterms:modified xsi:type="dcterms:W3CDTF">2013-11-26T19:28:45Z</dcterms:modified>
</cp:coreProperties>
</file>