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375" windowWidth="17535" windowHeight="10320" tabRatio="637" firstSheet="5" activeTab="8"/>
  </bookViews>
  <sheets>
    <sheet name="Data" sheetId="1" r:id="rId1"/>
    <sheet name="EF" sheetId="2" r:id="rId2"/>
    <sheet name="Emissions" sheetId="3" r:id="rId3"/>
    <sheet name="Total" sheetId="4" r:id="rId4"/>
    <sheet name="Federal PTE" sheetId="5" r:id="rId5"/>
    <sheet name="Exempt" sheetId="6" r:id="rId6"/>
    <sheet name="Revised HAP EmFac" sheetId="7" r:id="rId7"/>
    <sheet name="Revised HAP Emissions" sheetId="8" r:id="rId8"/>
    <sheet name="Revised HAP SS" sheetId="9" r:id="rId9"/>
    <sheet name="FHC CALC KVB" sheetId="10" r:id="rId10"/>
    <sheet name="Sheet1" sheetId="11" r:id="rId11"/>
  </sheets>
  <externalReferences>
    <externalReference r:id="rId14"/>
    <externalReference r:id="rId15"/>
    <externalReference r:id="rId16"/>
    <externalReference r:id="rId17"/>
  </externalReferences>
  <definedNames>
    <definedName name="bhp1">#REF!</definedName>
    <definedName name="bhp2">#REF!</definedName>
    <definedName name="BSFC" localSheetId="6">#REF!</definedName>
    <definedName name="BSFC" localSheetId="7">#REF!</definedName>
    <definedName name="BSFC" localSheetId="8">#REF!</definedName>
    <definedName name="BSFC">#REF!</definedName>
    <definedName name="BSFC_Boat">'[3]Variables'!$C$24</definedName>
    <definedName name="BUG_hp">#REF!</definedName>
    <definedName name="cc_eff">'[1]Exempt Calcs'!#REF!</definedName>
    <definedName name="CE_EB">#REF!</definedName>
    <definedName name="CE_LPG">#REF!</definedName>
    <definedName name="CPP_P">'[1]Exempt Calcs'!#REF!</definedName>
    <definedName name="CPP_R">'[1]Exempt Calcs'!#REF!</definedName>
    <definedName name="CPP_R2">'[1]Exempt Calcs'!#REF!</definedName>
    <definedName name="Crane_hp">'[3]Variables'!#REF!</definedName>
    <definedName name="EC_Crew_hp">#REF!</definedName>
    <definedName name="EC_Sup_hp">#REF!</definedName>
    <definedName name="FCF">#REF!</definedName>
    <definedName name="Flare_PM_Ratio">'[3]Variables'!$C$22</definedName>
    <definedName name="Flare_ROC_Ratio">'[3]Variables'!$C$20</definedName>
    <definedName name="GC">'[1]Exempt Calcs'!#REF!</definedName>
    <definedName name="HHV" localSheetId="6">'[1]Exempt Calcs'!#REF!</definedName>
    <definedName name="HHV" localSheetId="7">'[3]Variables'!$C$8</definedName>
    <definedName name="HHV" localSheetId="8">'[3]Variables'!$C$8</definedName>
    <definedName name="HHV">#REF!</definedName>
    <definedName name="HHV_D2">'[1]Exempt Calcs'!#REF!</definedName>
    <definedName name="HHV1">#REF!</definedName>
    <definedName name="HHVD2">#REF!</definedName>
    <definedName name="HHVPro">'[4]Variables'!$C$6</definedName>
    <definedName name="ICECOEF" localSheetId="6">#REF!</definedName>
    <definedName name="ICECOEF" localSheetId="7">#REF!</definedName>
    <definedName name="ICECOEF" localSheetId="8">#REF!</definedName>
    <definedName name="ICECOEF">#REF!</definedName>
    <definedName name="ICENOXEF" localSheetId="6">#REF!</definedName>
    <definedName name="ICENOXEF" localSheetId="7">#REF!</definedName>
    <definedName name="ICENOXEF" localSheetId="8">#REF!</definedName>
    <definedName name="ICENOXEF">#REF!</definedName>
    <definedName name="ICEPM10EF" localSheetId="6">#REF!</definedName>
    <definedName name="ICEPM10EF" localSheetId="7">#REF!</definedName>
    <definedName name="ICEPM10EF" localSheetId="8">#REF!</definedName>
    <definedName name="ICEPM10EF">#REF!</definedName>
    <definedName name="ICEPMEF" localSheetId="6">#REF!</definedName>
    <definedName name="ICEPMEF" localSheetId="7">#REF!</definedName>
    <definedName name="ICEPMEF" localSheetId="8">#REF!</definedName>
    <definedName name="ICEPMEF">#REF!</definedName>
    <definedName name="ICEROCEF" localSheetId="6">#REF!</definedName>
    <definedName name="ICEROCEF" localSheetId="7">#REF!</definedName>
    <definedName name="ICEROCEF" localSheetId="8">#REF!</definedName>
    <definedName name="ICEROCEF">#REF!</definedName>
    <definedName name="ICESOXEF" localSheetId="6">#REF!</definedName>
    <definedName name="ICESOXEF" localSheetId="7">#REF!</definedName>
    <definedName name="ICESOXEF" localSheetId="8">#REF!</definedName>
    <definedName name="ICESOXEF">#REF!</definedName>
    <definedName name="MW_EB">#REF!</definedName>
    <definedName name="MW_LPG">#REF!</definedName>
    <definedName name="MW1">'[1]Exempt Calcs'!#REF!</definedName>
    <definedName name="PM_Ratio_HT">#REF!</definedName>
    <definedName name="ppmS">#REF!</definedName>
    <definedName name="_xlnm.Print_Area" localSheetId="9">'FHC CALC KVB'!$A$1:$G$88</definedName>
    <definedName name="_xlnm.Print_Titles" localSheetId="9">'FHC CALC KVB'!$1:$1</definedName>
    <definedName name="S">#REF!</definedName>
    <definedName name="SLPG">#REF!</definedName>
    <definedName name="ST_VRU_EFF">#REF!</definedName>
    <definedName name="T_EB">#REF!</definedName>
    <definedName name="T_LPG">#REF!</definedName>
    <definedName name="TP1">'[1]Exempt Calcs'!#REF!</definedName>
    <definedName name="TVP_EB">#REF!</definedName>
    <definedName name="TVP_LPG">#REF!</definedName>
    <definedName name="VRU_EFF">#REF!</definedName>
    <definedName name="zz256">'[1]Data'!#REF!</definedName>
  </definedNames>
  <calcPr fullCalcOnLoad="1"/>
</workbook>
</file>

<file path=xl/sharedStrings.xml><?xml version="1.0" encoding="utf-8"?>
<sst xmlns="http://schemas.openxmlformats.org/spreadsheetml/2006/main" count="775" uniqueCount="241">
  <si>
    <t>Table 5.1-1</t>
  </si>
  <si>
    <t>Operating Equipment Description</t>
  </si>
  <si>
    <t xml:space="preserve">    Device Specifications</t>
  </si>
  <si>
    <t xml:space="preserve">          Usage Data</t>
  </si>
  <si>
    <t>Maximum Load Schedule</t>
  </si>
  <si>
    <t xml:space="preserve"> </t>
  </si>
  <si>
    <t>Equipment Category</t>
  </si>
  <si>
    <t>Emissions Unit</t>
  </si>
  <si>
    <t>Fuel</t>
  </si>
  <si>
    <t>% S</t>
  </si>
  <si>
    <t xml:space="preserve">Size </t>
  </si>
  <si>
    <t>Units</t>
  </si>
  <si>
    <t>Capacity</t>
  </si>
  <si>
    <t xml:space="preserve">Units   </t>
  </si>
  <si>
    <t>hr</t>
  </si>
  <si>
    <t>day</t>
  </si>
  <si>
    <t xml:space="preserve">      qtr</t>
  </si>
  <si>
    <t>year</t>
  </si>
  <si>
    <t xml:space="preserve"> References</t>
  </si>
  <si>
    <t>--</t>
  </si>
  <si>
    <t>Fugitive Components</t>
  </si>
  <si>
    <t>sq.ft</t>
  </si>
  <si>
    <t>Solvent Usage</t>
  </si>
  <si>
    <t>gal/yr</t>
  </si>
  <si>
    <t>B</t>
  </si>
  <si>
    <t>Table 5.1-2</t>
  </si>
  <si>
    <t>Equipment Emission Factors</t>
  </si>
  <si>
    <t>Emission Factors</t>
  </si>
  <si>
    <t>NOx</t>
  </si>
  <si>
    <t>ROC</t>
  </si>
  <si>
    <t>CO</t>
  </si>
  <si>
    <t>SOx</t>
  </si>
  <si>
    <t>PM</t>
  </si>
  <si>
    <t>PM10</t>
  </si>
  <si>
    <t>References</t>
  </si>
  <si>
    <t>Table 5.1-3</t>
  </si>
  <si>
    <t xml:space="preserve">  </t>
  </si>
  <si>
    <t xml:space="preserve"> SOx</t>
  </si>
  <si>
    <t>lbs/day</t>
  </si>
  <si>
    <t>TPY</t>
  </si>
  <si>
    <t>TOTAL:</t>
  </si>
  <si>
    <t>Table 5.2</t>
  </si>
  <si>
    <t>Total Permitted Facility Emissions</t>
  </si>
  <si>
    <t xml:space="preserve">    TOTALS (lb/day)</t>
  </si>
  <si>
    <t xml:space="preserve">    TOTALS (ton/yr)</t>
  </si>
  <si>
    <t>Table 5.3</t>
  </si>
  <si>
    <t>FE</t>
  </si>
  <si>
    <t>Solvents</t>
  </si>
  <si>
    <t>Daily and Annual Emissions</t>
  </si>
  <si>
    <t>Well Cellar #421-2</t>
  </si>
  <si>
    <t>sq. ft</t>
  </si>
  <si>
    <t>C</t>
  </si>
  <si>
    <t xml:space="preserve">  g/l</t>
  </si>
  <si>
    <t>Attachment:</t>
  </si>
  <si>
    <t>Version:</t>
  </si>
  <si>
    <t>FUGITIVE HYDROCARBON CALCULATIONS - CARB/KVB METHOD</t>
  </si>
  <si>
    <t>ADMINISTRATIVE INFORMATION</t>
  </si>
  <si>
    <t>Attachment: 1</t>
  </si>
  <si>
    <t>fhc-kvb5.xls</t>
  </si>
  <si>
    <t>Path &amp; File Name:</t>
  </si>
  <si>
    <t>Reference:  CARB speciation profiles #s 529, 530, 531, 532</t>
  </si>
  <si>
    <t>Data</t>
  </si>
  <si>
    <t>Value</t>
  </si>
  <si>
    <t>Number of Active Wells at Facility</t>
  </si>
  <si>
    <t>wells</t>
  </si>
  <si>
    <t>Facility Gas Production</t>
  </si>
  <si>
    <t>scf/day</t>
  </si>
  <si>
    <t>Facility Dry Oil Production</t>
  </si>
  <si>
    <t>bbls/day</t>
  </si>
  <si>
    <t>Facility Gas to Oil Ratio (if &gt; 500 then default to 501)</t>
  </si>
  <si>
    <t>scf/bbl</t>
  </si>
  <si>
    <t>API Gravity</t>
  </si>
  <si>
    <t>degrees API</t>
  </si>
  <si>
    <t>Facility Model Number</t>
  </si>
  <si>
    <t>dimensionless</t>
  </si>
  <si>
    <t>No. of Steam Drive Wells with Control Vents</t>
  </si>
  <si>
    <t>No. of Steam Drive Wells with Uncontrol Vents</t>
  </si>
  <si>
    <t>No. of Cyclic Steam Drive Wells with Control Vents</t>
  </si>
  <si>
    <t>No. of Cyclic Steam Drive Wells with Uncontrol Vents</t>
  </si>
  <si>
    <t>Composite Valve and Fitting Emission Factor</t>
  </si>
  <si>
    <t>lb/day-well</t>
  </si>
  <si>
    <t>Valve</t>
  </si>
  <si>
    <t>Fitting</t>
  </si>
  <si>
    <t>Composite</t>
  </si>
  <si>
    <t>ROG Emission Factor</t>
  </si>
  <si>
    <t>Lease Model</t>
  </si>
  <si>
    <t>Without Ethane</t>
  </si>
  <si>
    <t>lbs/day-well</t>
  </si>
  <si>
    <t>Model #1:  Number of wells on lease is less than 10 and the GOR is less than 500.</t>
  </si>
  <si>
    <t>Model #2:  Number of wells on lease is between 10 and 50 and the GOR is less than 500.</t>
  </si>
  <si>
    <t>Model #3:  Number of wells on lease is greater than 50 and the GOR is less than 500.</t>
  </si>
  <si>
    <t>Model #4:  Number of wells on lease is less than 10 and the GOR is greater than 500.</t>
  </si>
  <si>
    <t>Model #5:  Number of wells on lease is between 10 and 50 and the GOR is greater than 500.</t>
  </si>
  <si>
    <t>Model #6:  Number of wells on lease is greater than 50 and the GOR is greater than 500.</t>
  </si>
  <si>
    <t>ROC Emission Calculation Summary Results Table</t>
  </si>
  <si>
    <t>lbs/hr</t>
  </si>
  <si>
    <t>tons/year</t>
  </si>
  <si>
    <t>Total Facility FHC Emissions (ROC)</t>
  </si>
  <si>
    <t>a:  Emissions amount reflect an 80% reduction due to Rule 331 implementation.</t>
  </si>
  <si>
    <t>b:  Emissions reflect control efficiencies where applicable.</t>
  </si>
  <si>
    <t>c:  Due to rounding, the totals may not appear correct</t>
  </si>
  <si>
    <t>Emission Calculation by Emission Unit</t>
  </si>
  <si>
    <t>Number of Wells</t>
  </si>
  <si>
    <t>Wellhead emissions</t>
  </si>
  <si>
    <t>ROC (lb/well-day)</t>
  </si>
  <si>
    <t>Total:</t>
  </si>
  <si>
    <t>Efficiency Factor:</t>
  </si>
  <si>
    <t>Unit Type/Emissions Factor</t>
  </si>
  <si>
    <t>Heavy Oil Service</t>
  </si>
  <si>
    <t>Light Oil Service</t>
  </si>
  <si>
    <t>Primary</t>
  </si>
  <si>
    <t>Secondary</t>
  </si>
  <si>
    <t>Tertiary</t>
  </si>
  <si>
    <t>Surface Area and Type (emissions in lbs/day)</t>
  </si>
  <si>
    <t>Description/Name</t>
  </si>
  <si>
    <t>Number</t>
  </si>
  <si>
    <t>(a) A 70% reduction is applied for implementation</t>
  </si>
  <si>
    <r>
      <t>Reactive Organic Compounds</t>
    </r>
    <r>
      <rPr>
        <b/>
        <vertAlign val="superscript"/>
        <sz val="10"/>
        <rFont val="Arial"/>
        <family val="2"/>
      </rPr>
      <t>(c)</t>
    </r>
  </si>
  <si>
    <r>
      <t>Valves and Fittings</t>
    </r>
    <r>
      <rPr>
        <vertAlign val="superscript"/>
        <sz val="10"/>
        <rFont val="Arial"/>
        <family val="2"/>
      </rPr>
      <t>(a)</t>
    </r>
  </si>
  <si>
    <r>
      <t>(lb ROC/ft</t>
    </r>
    <r>
      <rPr>
        <vertAlign val="superscript"/>
        <sz val="10"/>
        <rFont val="Arial"/>
        <family val="2"/>
      </rPr>
      <t>2</t>
    </r>
    <r>
      <rPr>
        <sz val="10"/>
        <rFont val="Arial"/>
        <family val="2"/>
      </rPr>
      <t>-day)</t>
    </r>
  </si>
  <si>
    <r>
      <t>Area (ft</t>
    </r>
    <r>
      <rPr>
        <vertAlign val="superscript"/>
        <sz val="10"/>
        <rFont val="Arial"/>
        <family val="2"/>
      </rPr>
      <t>2</t>
    </r>
    <r>
      <rPr>
        <sz val="10"/>
        <rFont val="Arial"/>
        <family val="2"/>
      </rPr>
      <t>)</t>
    </r>
  </si>
  <si>
    <r>
      <t>Well Cellars</t>
    </r>
    <r>
      <rPr>
        <vertAlign val="superscript"/>
        <sz val="10"/>
        <rFont val="Arial"/>
        <family val="2"/>
      </rPr>
      <t>(a)</t>
    </r>
  </si>
  <si>
    <r>
      <t xml:space="preserve">     of Rule 344 (</t>
    </r>
    <r>
      <rPr>
        <i/>
        <sz val="10"/>
        <rFont val="Arial"/>
        <family val="0"/>
      </rPr>
      <t>Sumps, Pits, and Well Cellars</t>
    </r>
    <r>
      <rPr>
        <sz val="10"/>
        <rFont val="Arial"/>
        <family val="2"/>
      </rPr>
      <t>).</t>
    </r>
  </si>
  <si>
    <t>Company:  Venoco</t>
  </si>
  <si>
    <t>Facility:  Beachfront Lease</t>
  </si>
  <si>
    <t>lb/sq. ft./day</t>
  </si>
  <si>
    <t>Active Units?</t>
  </si>
  <si>
    <t>Uncontrolled</t>
  </si>
  <si>
    <t>(80% I&amp;M Control Assumed)</t>
  </si>
  <si>
    <t>Controlled</t>
  </si>
  <si>
    <t>control</t>
  </si>
  <si>
    <t>Well Cellar</t>
  </si>
  <si>
    <t>B.   Annual (Ton/year)</t>
  </si>
  <si>
    <t>A.    Daily (lb/day)</t>
  </si>
  <si>
    <t>=Variables!$C$18</t>
  </si>
  <si>
    <t>=Variables!$C$16</t>
  </si>
  <si>
    <t>=Variables!$C$20</t>
  </si>
  <si>
    <t>=Variables!$C$10</t>
  </si>
  <si>
    <t>ICECOEF</t>
  </si>
  <si>
    <t>ICENOXEF</t>
  </si>
  <si>
    <t>ICEPM10EF</t>
  </si>
  <si>
    <t>ICEPMEF</t>
  </si>
  <si>
    <t>ICEROCEF</t>
  </si>
  <si>
    <t>ICESOXEF</t>
  </si>
  <si>
    <t>ST_VRU_EFF</t>
  </si>
  <si>
    <t>='Oil Storage Tank'!$J$56</t>
  </si>
  <si>
    <t>VRU_EFF</t>
  </si>
  <si>
    <t>='Oil Storage Tank'!$J$53</t>
  </si>
  <si>
    <t>A.  DAILY   (lb/day)</t>
  </si>
  <si>
    <t>Surface Coating - Maintenance</t>
  </si>
  <si>
    <t>B.  ANNUAL   (tpy)</t>
  </si>
  <si>
    <t>bhp1</t>
  </si>
  <si>
    <t>bhp2</t>
  </si>
  <si>
    <t>BSFC</t>
  </si>
  <si>
    <t>=Variables!$C$19</t>
  </si>
  <si>
    <t>Notes</t>
  </si>
  <si>
    <t>Federal Potential to Emit</t>
  </si>
  <si>
    <t>Table 5.4</t>
  </si>
  <si>
    <t>Table 5.5-1</t>
  </si>
  <si>
    <t>Benzene</t>
  </si>
  <si>
    <t>Toluene</t>
  </si>
  <si>
    <t>Xylene</t>
  </si>
  <si>
    <t>Hexane</t>
  </si>
  <si>
    <t>Table 5.5-2</t>
  </si>
  <si>
    <t>=Variables!$C$12</t>
  </si>
  <si>
    <t>=Variables!$C$13</t>
  </si>
  <si>
    <t>HHV1</t>
  </si>
  <si>
    <t>=Variables!$C$8</t>
  </si>
  <si>
    <t>=Variables!$C$17</t>
  </si>
  <si>
    <t>=Variables!$C$15</t>
  </si>
  <si>
    <t>ppmS</t>
  </si>
  <si>
    <t>=Variables!$C$9</t>
  </si>
  <si>
    <t>Facility</t>
  </si>
  <si>
    <t>10.1-3</t>
  </si>
  <si>
    <t>Estimated APCD Permit Exempt Emissions</t>
  </si>
  <si>
    <t>A</t>
  </si>
  <si>
    <r>
      <t>Well Cellars</t>
    </r>
    <r>
      <rPr>
        <vertAlign val="superscript"/>
        <sz val="10"/>
        <rFont val="Arial"/>
        <family val="2"/>
      </rPr>
      <t>(b)</t>
    </r>
  </si>
  <si>
    <r>
      <t>Well Heads</t>
    </r>
    <r>
      <rPr>
        <vertAlign val="superscript"/>
        <sz val="10"/>
        <rFont val="Arial"/>
        <family val="2"/>
      </rPr>
      <t>(a)</t>
    </r>
  </si>
  <si>
    <t>Well Heads Emission Calculations</t>
  </si>
  <si>
    <t>Well Cellars</t>
  </si>
  <si>
    <t>(70% for well cellars) =</t>
  </si>
  <si>
    <t>FE = Federally enforceable</t>
  </si>
  <si>
    <t>Cleaning/degreasing</t>
  </si>
  <si>
    <t>Equipment No.</t>
  </si>
  <si>
    <t>Enforced?</t>
  </si>
  <si>
    <t>Federally</t>
  </si>
  <si>
    <t>Valves - Accessible</t>
  </si>
  <si>
    <t>Connections - Accessible</t>
  </si>
  <si>
    <t>Connections - Unsafe</t>
  </si>
  <si>
    <t>comp-lp</t>
  </si>
  <si>
    <t>lb/day/comp-lp</t>
  </si>
  <si>
    <t>Sub-total:</t>
  </si>
  <si>
    <t>APCD</t>
  </si>
  <si>
    <t>Valves - Unsafe</t>
  </si>
  <si>
    <t>Fugitive Components: gas</t>
  </si>
  <si>
    <t>Fugitive Components: oil</t>
  </si>
  <si>
    <t>Table 5.5-3</t>
  </si>
  <si>
    <t>Processed by:  JJM</t>
  </si>
  <si>
    <t>Date:  12-Dec-2017</t>
  </si>
  <si>
    <t>Beachfront Lease PT70-APCD PTO 8103 R10</t>
  </si>
  <si>
    <t>PM2.5/10</t>
  </si>
  <si>
    <t>Hazardous Air Pollutant Emission Factors</t>
  </si>
  <si>
    <t>Description</t>
  </si>
  <si>
    <t>APCD Device ID</t>
  </si>
  <si>
    <r>
      <t>Iso-Octane</t>
    </r>
    <r>
      <rPr>
        <vertAlign val="superscript"/>
        <sz val="12"/>
        <rFont val="Arial"/>
        <family val="2"/>
      </rPr>
      <t>1</t>
    </r>
  </si>
  <si>
    <t>D</t>
  </si>
  <si>
    <t>lb/lb-ROC</t>
  </si>
  <si>
    <r>
      <t>lb/lb-ROC</t>
    </r>
    <r>
      <rPr>
        <vertAlign val="superscript"/>
        <sz val="12"/>
        <rFont val="Arial"/>
        <family val="2"/>
      </rPr>
      <t>2</t>
    </r>
  </si>
  <si>
    <r>
      <t>lb/lb-ROC</t>
    </r>
    <r>
      <rPr>
        <vertAlign val="superscript"/>
        <sz val="12"/>
        <rFont val="Arial"/>
        <family val="2"/>
      </rPr>
      <t>3</t>
    </r>
  </si>
  <si>
    <r>
      <t>lb/lb-ROC</t>
    </r>
    <r>
      <rPr>
        <vertAlign val="superscript"/>
        <sz val="12"/>
        <rFont val="Arial"/>
        <family val="2"/>
      </rPr>
      <t>4</t>
    </r>
  </si>
  <si>
    <r>
      <t>lb/lb-ROC</t>
    </r>
    <r>
      <rPr>
        <vertAlign val="superscript"/>
        <sz val="12"/>
        <rFont val="Arial"/>
        <family val="2"/>
      </rPr>
      <t>5</t>
    </r>
  </si>
  <si>
    <t xml:space="preserve">References: </t>
  </si>
  <si>
    <t>Notes:</t>
  </si>
  <si>
    <t>1.  The weight fraction for iso-Octane (i.e., 2,2,4-Trimethylpentane) is based on the conservative assumption that all isomers of octane are iso-Octane.</t>
  </si>
  <si>
    <r>
      <t xml:space="preserve">2.  The ROC to TOC ratio used for these emission factors was 0.38 from </t>
    </r>
    <r>
      <rPr>
        <i/>
        <sz val="10"/>
        <rFont val="Arial"/>
        <family val="2"/>
      </rPr>
      <t xml:space="preserve">Table 2 Fugitive Emission Factors for Oil and Gas Facilities Using the Component Count Method (P&amp;P 6100.061), </t>
    </r>
    <r>
      <rPr>
        <sz val="10"/>
        <rFont val="Arial"/>
        <family val="2"/>
      </rPr>
      <t>available at https://www.ourair.org/wp-content/uploads/6100-061-1.pdf.</t>
    </r>
  </si>
  <si>
    <t xml:space="preserve">A - CARB Speciation Manual Second Edition (1991), Profile Number 757 - Oil &amp; Gas Production Fugitives - Gas Service  </t>
  </si>
  <si>
    <r>
      <t xml:space="preserve">3.  The ROC to TOC ratio used for these emission factors was 0.43 from </t>
    </r>
    <r>
      <rPr>
        <i/>
        <sz val="10"/>
        <rFont val="Arial"/>
        <family val="2"/>
      </rPr>
      <t xml:space="preserve">Table 2 Fugitive Emission Factors for Oil and Gas Facilities Using the Component Count Method (P&amp;P 6100.061), </t>
    </r>
    <r>
      <rPr>
        <sz val="10"/>
        <rFont val="Arial"/>
        <family val="2"/>
      </rPr>
      <t>available at https://www.ourair.org/wp-content/uploads/6100-061-1.pdf.</t>
    </r>
  </si>
  <si>
    <r>
      <t xml:space="preserve">4.  The ROC to TOC ratio used for these emission factors was 0.33 from </t>
    </r>
    <r>
      <rPr>
        <i/>
        <sz val="10"/>
        <rFont val="Arial"/>
        <family val="2"/>
      </rPr>
      <t xml:space="preserve">Table 2 Fugitive Emission Factors for Oil and Gas Facilities Using the Component Count Method (P&amp;P 6100.061), </t>
    </r>
    <r>
      <rPr>
        <sz val="10"/>
        <rFont val="Arial"/>
        <family val="2"/>
      </rPr>
      <t>available at https://www.ourair.org/wp-content/uploads/6100-061-1.pdf.</t>
    </r>
  </si>
  <si>
    <t>B - CARB Speciation Manual Second Edition (1991) Profile Number 756 - Oil &amp; Gas Production Fugitives - Liquid Service</t>
  </si>
  <si>
    <t>C - CARB Speciation Manual Second Edition (1991) Profile Number 532 - Oil &amp; Gas Extraction - Well Heads &amp; Cellars/Oil &amp; Water Separators</t>
  </si>
  <si>
    <r>
      <t xml:space="preserve">5.  The ROC to TOC ratio used for these emission factors was 0.606 from </t>
    </r>
    <r>
      <rPr>
        <i/>
        <sz val="10"/>
        <rFont val="Arial"/>
        <family val="2"/>
      </rPr>
      <t>Table 3.2.3 Standard Assumed ROC/TOG Conversions</t>
    </r>
    <r>
      <rPr>
        <sz val="10"/>
        <rFont val="Arial"/>
        <family val="2"/>
      </rPr>
      <t xml:space="preserve"> of P&amp;P 6100.060.2016, available at https://www.ourair.org/wp-content/uploads/6100-060-1.pdf.</t>
    </r>
  </si>
  <si>
    <t>D - APCD: Solvents assumed to contain 5% benzene, 5% toluene, 5% xylene</t>
  </si>
  <si>
    <t>Annual Hazardous Air Pollutant Emissions (TPY)</t>
  </si>
  <si>
    <t>Iso-Octane</t>
  </si>
  <si>
    <t>1.  These are estimates only, and are not intended to represent emission limits.</t>
  </si>
  <si>
    <t>2.  Based on CAAA, Section 112 (n) (4) stipulations, the HAP emissions listed above can not be aggregated at the source for any purpose, including determination of HAP major source status for MACT applicability.</t>
  </si>
  <si>
    <t>3.  Natural gas emission calculations are based on a standard value of 1050 BTU/scf.</t>
  </si>
  <si>
    <t>4.  Default fuel properties for diesel are from Table 6 of the SBCAPCD's Piston IC Engine Technical Reference Document (2002), available at https://www.ourair.org/wp-content/uploads/sbcapcdicerefdoc.pdf.</t>
  </si>
  <si>
    <t>Stationary Source Hazardous Air Pollutant Emissions (TPY)</t>
  </si>
  <si>
    <t>Permit #</t>
  </si>
  <si>
    <t>Total - All HAPS</t>
  </si>
  <si>
    <t>00028 - Ellwood Onshore Facility</t>
  </si>
  <si>
    <t>PTO 7904-R10</t>
  </si>
  <si>
    <t>01065 - Seep Containment Device</t>
  </si>
  <si>
    <t>PTO 4441-R7</t>
  </si>
  <si>
    <t>03035 - Beachfront Lease</t>
  </si>
  <si>
    <t>PTO 8103-R10</t>
  </si>
  <si>
    <t>03105 - Platform Holly</t>
  </si>
  <si>
    <t>PTO 8234-R10</t>
  </si>
  <si>
    <t>Total SS - By Individual HAPs:</t>
  </si>
  <si>
    <t>Beachfront Lease: Part 70/PTO 8103-R10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</si>
</sst>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mm/dd/yy_)"/>
    <numFmt numFmtId="166" formatCode="0.00_)"/>
    <numFmt numFmtId="167" formatCode="0.0000_)"/>
    <numFmt numFmtId="168" formatCode="0_)"/>
    <numFmt numFmtId="169" formatCode="#,##0.000_);\(#,##0.000\)"/>
    <numFmt numFmtId="170" formatCode="0.0_)"/>
    <numFmt numFmtId="171" formatCode="#,##0.0_);\(#,##0.0\)"/>
    <numFmt numFmtId="172" formatCode="0.0%"/>
    <numFmt numFmtId="173" formatCode="0.0E+00"/>
    <numFmt numFmtId="174" formatCode="0.000"/>
    <numFmt numFmtId="175" formatCode="0.0"/>
    <numFmt numFmtId="176" formatCode="0.0000"/>
    <numFmt numFmtId="177" formatCode="General_)"/>
    <numFmt numFmtId="178" formatCode="mm/dd/yy_)"/>
    <numFmt numFmtId="179" formatCode="_(* #,##0.0_);_(* \(#,##0.0\);_(* &quot;-&quot;??_);_(@_)"/>
    <numFmt numFmtId="180" formatCode="_(* #,##0_);_(* \(#,##0\);_(* &quot;-&quot;??_);_(@_)"/>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0.000E+00"/>
    <numFmt numFmtId="187" formatCode="0.000000"/>
    <numFmt numFmtId="188" formatCode="0.0000000"/>
    <numFmt numFmtId="189" formatCode="0.00000"/>
    <numFmt numFmtId="190" formatCode="0.00000000"/>
    <numFmt numFmtId="191" formatCode="#,##0.0"/>
    <numFmt numFmtId="192" formatCode="mm/dd_)"/>
    <numFmt numFmtId="193" formatCode="0.000000000000000%"/>
    <numFmt numFmtId="194" formatCode="0.00000_)"/>
    <numFmt numFmtId="195" formatCode="dd\-mmm\-yy"/>
    <numFmt numFmtId="196" formatCode="dd\-mmm\-yy_)"/>
    <numFmt numFmtId="197" formatCode="_(* #,##0.0000_);_(* \(#,##0.0000\);_(* &quot;-&quot;????_);_(@_)"/>
    <numFmt numFmtId="198" formatCode="000.0000"/>
    <numFmt numFmtId="199" formatCode="#,##0.000"/>
    <numFmt numFmtId="200" formatCode="[$-409]dddd\,\ mmmm\ d\,\ yyyy"/>
    <numFmt numFmtId="201" formatCode="[$-409]h:mm:ss\ AM/PM"/>
  </numFmts>
  <fonts count="63">
    <font>
      <sz val="10"/>
      <name val="Courier"/>
      <family val="0"/>
    </font>
    <font>
      <b/>
      <sz val="10"/>
      <name val="Arial"/>
      <family val="0"/>
    </font>
    <font>
      <i/>
      <sz val="10"/>
      <name val="Arial"/>
      <family val="0"/>
    </font>
    <font>
      <b/>
      <i/>
      <sz val="10"/>
      <name val="Arial"/>
      <family val="0"/>
    </font>
    <font>
      <sz val="10"/>
      <name val="Arial"/>
      <family val="2"/>
    </font>
    <font>
      <sz val="12"/>
      <name val="Helv"/>
      <family val="0"/>
    </font>
    <font>
      <b/>
      <sz val="12"/>
      <name val="Arial"/>
      <family val="2"/>
    </font>
    <font>
      <sz val="10"/>
      <color indexed="10"/>
      <name val="Arial"/>
      <family val="2"/>
    </font>
    <font>
      <sz val="8"/>
      <name val="Arial"/>
      <family val="2"/>
    </font>
    <font>
      <u val="single"/>
      <sz val="10"/>
      <name val="Arial"/>
      <family val="2"/>
    </font>
    <font>
      <b/>
      <u val="single"/>
      <sz val="10"/>
      <name val="Arial"/>
      <family val="2"/>
    </font>
    <font>
      <b/>
      <vertAlign val="superscript"/>
      <sz val="10"/>
      <name val="Arial"/>
      <family val="2"/>
    </font>
    <font>
      <vertAlign val="superscript"/>
      <sz val="10"/>
      <name val="Arial"/>
      <family val="2"/>
    </font>
    <font>
      <sz val="5"/>
      <name val="Arial"/>
      <family val="2"/>
    </font>
    <font>
      <u val="single"/>
      <sz val="9"/>
      <color indexed="36"/>
      <name val="Helv"/>
      <family val="0"/>
    </font>
    <font>
      <u val="single"/>
      <sz val="9"/>
      <color indexed="12"/>
      <name val="Helv"/>
      <family val="0"/>
    </font>
    <font>
      <sz val="12"/>
      <name val="Arial"/>
      <family val="2"/>
    </font>
    <font>
      <sz val="11"/>
      <name val="CG Times (WN)"/>
      <family val="0"/>
    </font>
    <font>
      <sz val="11"/>
      <name val="Arial"/>
      <family val="2"/>
    </font>
    <font>
      <b/>
      <sz val="11"/>
      <name val="Arial"/>
      <family val="2"/>
    </font>
    <font>
      <u val="single"/>
      <sz val="11"/>
      <name val="Arial"/>
      <family val="2"/>
    </font>
    <font>
      <b/>
      <sz val="14"/>
      <name val="Arial"/>
      <family val="2"/>
    </font>
    <font>
      <b/>
      <strike/>
      <sz val="12"/>
      <name val="Arial"/>
      <family val="2"/>
    </font>
    <font>
      <vertAlign val="superscript"/>
      <sz val="12"/>
      <name val="Arial"/>
      <family val="2"/>
    </font>
    <font>
      <sz val="11"/>
      <name val="Univers (W1)"/>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22"/>
        <bgColor indexed="64"/>
      </patternFill>
    </fill>
    <fill>
      <patternFill patternType="solid">
        <fgColor indexed="9"/>
        <bgColor indexed="64"/>
      </patternFill>
    </fill>
    <fill>
      <patternFill patternType="gray125">
        <fgColor indexed="8"/>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74">
    <xf numFmtId="164"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 fillId="0" borderId="0">
      <alignment/>
      <protection/>
    </xf>
    <xf numFmtId="0" fontId="4" fillId="0" borderId="0">
      <alignment/>
      <protection/>
    </xf>
    <xf numFmtId="0" fontId="24" fillId="0" borderId="0">
      <alignment/>
      <protection/>
    </xf>
    <xf numFmtId="164" fontId="0" fillId="0" borderId="0">
      <alignment/>
      <protection/>
    </xf>
    <xf numFmtId="0" fontId="4" fillId="0" borderId="0">
      <alignment/>
      <protection/>
    </xf>
    <xf numFmtId="0" fontId="5" fillId="0" borderId="0">
      <alignment/>
      <protection/>
    </xf>
    <xf numFmtId="0" fontId="18" fillId="0" borderId="0">
      <alignment/>
      <protection/>
    </xf>
    <xf numFmtId="164" fontId="0" fillId="0" borderId="0" applyFill="0" applyProtection="0">
      <alignment/>
    </xf>
    <xf numFmtId="0" fontId="43" fillId="0" borderId="0">
      <alignment/>
      <protection/>
    </xf>
    <xf numFmtId="0" fontId="4" fillId="0" borderId="0">
      <alignment/>
      <protection/>
    </xf>
    <xf numFmtId="0" fontId="17" fillId="0" borderId="0">
      <alignment/>
      <protection/>
    </xf>
    <xf numFmtId="0" fontId="0" fillId="32" borderId="7" applyNumberFormat="0" applyFont="0" applyAlignment="0" applyProtection="0"/>
    <xf numFmtId="0" fontId="56" fillId="27" borderId="8" applyNumberFormat="0" applyAlignment="0" applyProtection="0"/>
    <xf numFmtId="9" fontId="4"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31">
    <xf numFmtId="164" fontId="0" fillId="0" borderId="0" xfId="0" applyAlignment="1">
      <alignment/>
    </xf>
    <xf numFmtId="0" fontId="6" fillId="0" borderId="0" xfId="66" applyFont="1" applyAlignment="1" applyProtection="1">
      <alignment horizontal="centerContinuous"/>
      <protection/>
    </xf>
    <xf numFmtId="0" fontId="4" fillId="0" borderId="0" xfId="66" applyAlignment="1" applyProtection="1">
      <alignment horizontal="centerContinuous"/>
      <protection/>
    </xf>
    <xf numFmtId="0" fontId="4" fillId="0" borderId="0" xfId="66" applyProtection="1">
      <alignment/>
      <protection/>
    </xf>
    <xf numFmtId="0" fontId="1" fillId="0" borderId="0" xfId="66" applyFont="1" applyAlignment="1" applyProtection="1">
      <alignment horizontal="centerContinuous"/>
      <protection/>
    </xf>
    <xf numFmtId="0" fontId="6" fillId="0" borderId="0" xfId="66" applyFont="1" applyAlignment="1" applyProtection="1" quotePrefix="1">
      <alignment horizontal="centerContinuous"/>
      <protection/>
    </xf>
    <xf numFmtId="2" fontId="1" fillId="0" borderId="10" xfId="66" applyNumberFormat="1" applyFont="1" applyBorder="1" applyProtection="1">
      <alignment/>
      <protection/>
    </xf>
    <xf numFmtId="2" fontId="4" fillId="0" borderId="11" xfId="66" applyNumberFormat="1" applyBorder="1" applyAlignment="1" applyProtection="1">
      <alignment horizontal="center"/>
      <protection/>
    </xf>
    <xf numFmtId="2" fontId="4" fillId="0" borderId="12" xfId="66" applyNumberFormat="1" applyBorder="1" applyAlignment="1" applyProtection="1">
      <alignment horizontal="center"/>
      <protection/>
    </xf>
    <xf numFmtId="0" fontId="6" fillId="0" borderId="0" xfId="66" applyFont="1" applyAlignment="1" applyProtection="1" quotePrefix="1">
      <alignment horizontal="center"/>
      <protection/>
    </xf>
    <xf numFmtId="0" fontId="4" fillId="0" borderId="13" xfId="66" applyBorder="1" applyProtection="1">
      <alignment/>
      <protection/>
    </xf>
    <xf numFmtId="0" fontId="7" fillId="0" borderId="14" xfId="66" applyFont="1" applyBorder="1" applyProtection="1">
      <alignment/>
      <protection/>
    </xf>
    <xf numFmtId="0" fontId="4" fillId="0" borderId="15" xfId="66" applyBorder="1" applyProtection="1">
      <alignment/>
      <protection/>
    </xf>
    <xf numFmtId="0" fontId="7" fillId="0" borderId="0" xfId="66" applyFont="1" applyBorder="1" applyProtection="1">
      <alignment/>
      <protection/>
    </xf>
    <xf numFmtId="2" fontId="4" fillId="0" borderId="16" xfId="66" applyNumberFormat="1" applyBorder="1" applyAlignment="1" applyProtection="1">
      <alignment horizontal="center"/>
      <protection/>
    </xf>
    <xf numFmtId="0" fontId="8" fillId="0" borderId="0" xfId="66" applyFont="1" applyProtection="1">
      <alignment/>
      <protection/>
    </xf>
    <xf numFmtId="0" fontId="8" fillId="0" borderId="0" xfId="66" applyFont="1" applyAlignment="1" applyProtection="1" quotePrefix="1">
      <alignment horizontal="left"/>
      <protection/>
    </xf>
    <xf numFmtId="0" fontId="4" fillId="0" borderId="16" xfId="66" applyBorder="1" applyProtection="1">
      <alignment/>
      <protection/>
    </xf>
    <xf numFmtId="0" fontId="9" fillId="0" borderId="0" xfId="66" applyFont="1" applyAlignment="1" applyProtection="1">
      <alignment horizontal="center"/>
      <protection/>
    </xf>
    <xf numFmtId="15" fontId="8" fillId="0" borderId="0" xfId="66" applyNumberFormat="1" applyFont="1" applyAlignment="1" applyProtection="1">
      <alignment horizontal="left"/>
      <protection/>
    </xf>
    <xf numFmtId="0" fontId="4" fillId="0" borderId="17" xfId="66" applyBorder="1" applyProtection="1">
      <alignment/>
      <protection/>
    </xf>
    <xf numFmtId="0" fontId="4" fillId="0" borderId="18" xfId="66" applyBorder="1" applyProtection="1">
      <alignment/>
      <protection/>
    </xf>
    <xf numFmtId="0" fontId="4" fillId="0" borderId="0" xfId="66" applyBorder="1" applyAlignment="1" applyProtection="1" quotePrefix="1">
      <alignment horizontal="left"/>
      <protection/>
    </xf>
    <xf numFmtId="15" fontId="4" fillId="0" borderId="0" xfId="66" applyNumberFormat="1" applyBorder="1" applyAlignment="1" applyProtection="1">
      <alignment horizontal="left"/>
      <protection/>
    </xf>
    <xf numFmtId="0" fontId="4" fillId="0" borderId="0" xfId="66" applyBorder="1" applyProtection="1">
      <alignment/>
      <protection/>
    </xf>
    <xf numFmtId="0" fontId="4" fillId="0" borderId="0" xfId="66" applyAlignment="1" applyProtection="1" quotePrefix="1">
      <alignment horizontal="left"/>
      <protection/>
    </xf>
    <xf numFmtId="0" fontId="4" fillId="0" borderId="19" xfId="66" applyBorder="1" applyAlignment="1" applyProtection="1">
      <alignment horizontal="center"/>
      <protection locked="0"/>
    </xf>
    <xf numFmtId="0" fontId="4" fillId="0" borderId="19" xfId="66" applyBorder="1" applyProtection="1">
      <alignment/>
      <protection/>
    </xf>
    <xf numFmtId="0" fontId="4" fillId="0" borderId="20" xfId="66" applyBorder="1" applyAlignment="1" applyProtection="1">
      <alignment horizontal="center"/>
      <protection locked="0"/>
    </xf>
    <xf numFmtId="0" fontId="4" fillId="0" borderId="20" xfId="66" applyBorder="1" applyProtection="1">
      <alignment/>
      <protection/>
    </xf>
    <xf numFmtId="0" fontId="4" fillId="0" borderId="20" xfId="66" applyBorder="1" applyAlignment="1" applyProtection="1" quotePrefix="1">
      <alignment horizontal="left"/>
      <protection/>
    </xf>
    <xf numFmtId="176" fontId="4" fillId="0" borderId="20" xfId="66" applyNumberFormat="1" applyBorder="1" applyAlignment="1" applyProtection="1">
      <alignment horizontal="center"/>
      <protection/>
    </xf>
    <xf numFmtId="0" fontId="4" fillId="0" borderId="0" xfId="66" applyAlignment="1" applyProtection="1">
      <alignment horizontal="center"/>
      <protection/>
    </xf>
    <xf numFmtId="0" fontId="1" fillId="0" borderId="0" xfId="66" applyFont="1" applyProtection="1">
      <alignment/>
      <protection/>
    </xf>
    <xf numFmtId="0" fontId="1" fillId="0" borderId="0" xfId="66" applyFont="1" applyAlignment="1" applyProtection="1">
      <alignment horizontal="center"/>
      <protection/>
    </xf>
    <xf numFmtId="0" fontId="1" fillId="0" borderId="0" xfId="66" applyFont="1" applyBorder="1" applyAlignment="1" applyProtection="1">
      <alignment horizontal="center"/>
      <protection/>
    </xf>
    <xf numFmtId="0" fontId="1" fillId="0" borderId="0" xfId="66" applyFont="1" applyAlignment="1" applyProtection="1" quotePrefix="1">
      <alignment horizontal="left"/>
      <protection/>
    </xf>
    <xf numFmtId="0" fontId="1" fillId="0" borderId="0" xfId="66" applyFont="1" applyAlignment="1" applyProtection="1" quotePrefix="1">
      <alignment horizontal="center"/>
      <protection/>
    </xf>
    <xf numFmtId="0" fontId="1" fillId="0" borderId="19" xfId="66" applyFont="1" applyBorder="1" applyAlignment="1" applyProtection="1">
      <alignment horizontal="center"/>
      <protection/>
    </xf>
    <xf numFmtId="176" fontId="1" fillId="0" borderId="19" xfId="66" applyNumberFormat="1" applyFont="1" applyBorder="1" applyAlignment="1" applyProtection="1">
      <alignment horizontal="center"/>
      <protection/>
    </xf>
    <xf numFmtId="0" fontId="10" fillId="0" borderId="0" xfId="66" applyFont="1" applyAlignment="1" applyProtection="1">
      <alignment horizontal="centerContinuous"/>
      <protection/>
    </xf>
    <xf numFmtId="0" fontId="4" fillId="0" borderId="21" xfId="66" applyBorder="1" applyProtection="1">
      <alignment/>
      <protection/>
    </xf>
    <xf numFmtId="0" fontId="4" fillId="0" borderId="21" xfId="66" applyBorder="1" applyAlignment="1" applyProtection="1">
      <alignment horizontal="center"/>
      <protection/>
    </xf>
    <xf numFmtId="0" fontId="4" fillId="0" borderId="21" xfId="66" applyBorder="1" applyAlignment="1" applyProtection="1" quotePrefix="1">
      <alignment horizontal="center"/>
      <protection/>
    </xf>
    <xf numFmtId="0" fontId="4" fillId="0" borderId="14" xfId="66" applyBorder="1" applyProtection="1">
      <alignment/>
      <protection/>
    </xf>
    <xf numFmtId="2" fontId="4" fillId="0" borderId="14" xfId="66" applyNumberFormat="1" applyBorder="1" applyAlignment="1" applyProtection="1">
      <alignment horizontal="center"/>
      <protection/>
    </xf>
    <xf numFmtId="2" fontId="4" fillId="0" borderId="22" xfId="66" applyNumberFormat="1" applyBorder="1" applyAlignment="1" applyProtection="1">
      <alignment horizontal="center"/>
      <protection/>
    </xf>
    <xf numFmtId="2" fontId="4" fillId="0" borderId="0" xfId="66" applyNumberFormat="1" applyBorder="1" applyAlignment="1" applyProtection="1">
      <alignment horizontal="center"/>
      <protection/>
    </xf>
    <xf numFmtId="2" fontId="4" fillId="0" borderId="23" xfId="66" applyNumberFormat="1" applyBorder="1" applyAlignment="1" applyProtection="1">
      <alignment horizontal="center"/>
      <protection/>
    </xf>
    <xf numFmtId="0" fontId="10" fillId="0" borderId="0" xfId="66" applyFont="1" applyProtection="1">
      <alignment/>
      <protection/>
    </xf>
    <xf numFmtId="0" fontId="4" fillId="0" borderId="0" xfId="66" applyAlignment="1" applyProtection="1">
      <alignment horizontal="left"/>
      <protection/>
    </xf>
    <xf numFmtId="176" fontId="4" fillId="0" borderId="0" xfId="66" applyNumberFormat="1" applyAlignment="1" applyProtection="1">
      <alignment horizontal="left"/>
      <protection/>
    </xf>
    <xf numFmtId="176" fontId="4" fillId="0" borderId="0" xfId="66" applyNumberFormat="1" applyAlignment="1" applyProtection="1">
      <alignment horizontal="center"/>
      <protection/>
    </xf>
    <xf numFmtId="0" fontId="4" fillId="0" borderId="0" xfId="66" applyAlignment="1" applyProtection="1" quotePrefix="1">
      <alignment horizontal="center"/>
      <protection/>
    </xf>
    <xf numFmtId="0" fontId="4" fillId="0" borderId="17" xfId="66" applyBorder="1" applyAlignment="1" applyProtection="1">
      <alignment horizontal="center"/>
      <protection/>
    </xf>
    <xf numFmtId="0" fontId="4" fillId="0" borderId="24" xfId="66" applyFont="1" applyBorder="1" applyAlignment="1" applyProtection="1" quotePrefix="1">
      <alignment horizontal="left"/>
      <protection locked="0"/>
    </xf>
    <xf numFmtId="0" fontId="4" fillId="0" borderId="25" xfId="66" applyBorder="1" applyAlignment="1" applyProtection="1">
      <alignment horizontal="center"/>
      <protection locked="0"/>
    </xf>
    <xf numFmtId="3" fontId="4" fillId="0" borderId="25" xfId="66" applyNumberFormat="1" applyBorder="1" applyAlignment="1" applyProtection="1">
      <alignment horizontal="center"/>
      <protection locked="0"/>
    </xf>
    <xf numFmtId="4" fontId="4" fillId="0" borderId="0" xfId="66" applyNumberFormat="1" applyBorder="1" applyAlignment="1" applyProtection="1">
      <alignment horizontal="center"/>
      <protection/>
    </xf>
    <xf numFmtId="2" fontId="4" fillId="0" borderId="25" xfId="66" applyNumberFormat="1" applyBorder="1" applyAlignment="1" applyProtection="1">
      <alignment horizontal="center"/>
      <protection/>
    </xf>
    <xf numFmtId="2" fontId="4" fillId="0" borderId="26" xfId="66" applyNumberFormat="1" applyBorder="1" applyAlignment="1" applyProtection="1">
      <alignment horizontal="center"/>
      <protection/>
    </xf>
    <xf numFmtId="0" fontId="4" fillId="0" borderId="27" xfId="66" applyBorder="1" applyAlignment="1" applyProtection="1" quotePrefix="1">
      <alignment horizontal="left"/>
      <protection locked="0"/>
    </xf>
    <xf numFmtId="0" fontId="4" fillId="0" borderId="0" xfId="66" applyBorder="1" applyAlignment="1" applyProtection="1">
      <alignment horizontal="center"/>
      <protection locked="0"/>
    </xf>
    <xf numFmtId="3" fontId="4" fillId="0" borderId="0" xfId="66" applyNumberFormat="1" applyBorder="1" applyAlignment="1" applyProtection="1">
      <alignment horizontal="center"/>
      <protection locked="0"/>
    </xf>
    <xf numFmtId="0" fontId="4" fillId="0" borderId="28" xfId="66" applyBorder="1" applyProtection="1">
      <alignment/>
      <protection locked="0"/>
    </xf>
    <xf numFmtId="0" fontId="4" fillId="0" borderId="17" xfId="66" applyBorder="1" applyAlignment="1" applyProtection="1">
      <alignment horizontal="center"/>
      <protection locked="0"/>
    </xf>
    <xf numFmtId="3" fontId="4" fillId="0" borderId="17" xfId="66" applyNumberFormat="1" applyBorder="1" applyAlignment="1" applyProtection="1">
      <alignment horizontal="center"/>
      <protection locked="0"/>
    </xf>
    <xf numFmtId="2" fontId="4" fillId="0" borderId="17" xfId="66" applyNumberFormat="1" applyBorder="1" applyAlignment="1" applyProtection="1">
      <alignment horizontal="center"/>
      <protection/>
    </xf>
    <xf numFmtId="2" fontId="4" fillId="0" borderId="18" xfId="66" applyNumberFormat="1" applyBorder="1" applyAlignment="1" applyProtection="1">
      <alignment horizontal="center"/>
      <protection/>
    </xf>
    <xf numFmtId="0" fontId="4" fillId="0" borderId="0" xfId="66" applyBorder="1" applyAlignment="1" applyProtection="1">
      <alignment horizontal="left"/>
      <protection/>
    </xf>
    <xf numFmtId="0" fontId="4" fillId="0" borderId="0" xfId="66" applyBorder="1" applyAlignment="1" applyProtection="1">
      <alignment horizontal="center"/>
      <protection/>
    </xf>
    <xf numFmtId="0" fontId="4" fillId="0" borderId="27" xfId="66" applyFont="1" applyFill="1" applyBorder="1" applyProtection="1">
      <alignment/>
      <protection/>
    </xf>
    <xf numFmtId="0" fontId="4" fillId="0" borderId="27" xfId="66" applyFont="1" applyBorder="1" applyProtection="1">
      <alignment/>
      <protection/>
    </xf>
    <xf numFmtId="0" fontId="4" fillId="0" borderId="29" xfId="66" applyFont="1" applyBorder="1" applyProtection="1">
      <alignment/>
      <protection/>
    </xf>
    <xf numFmtId="0" fontId="13" fillId="0" borderId="28" xfId="66" applyFont="1" applyBorder="1" applyProtection="1">
      <alignment/>
      <protection/>
    </xf>
    <xf numFmtId="0" fontId="4" fillId="0" borderId="0" xfId="66" applyFont="1" applyProtection="1">
      <alignment/>
      <protection/>
    </xf>
    <xf numFmtId="0" fontId="9" fillId="0" borderId="0" xfId="66" applyFont="1" applyProtection="1">
      <alignment/>
      <protection/>
    </xf>
    <xf numFmtId="0" fontId="4" fillId="0" borderId="0" xfId="66" applyFont="1" applyProtection="1" quotePrefix="1">
      <alignment/>
      <protection/>
    </xf>
    <xf numFmtId="0" fontId="4" fillId="0" borderId="0" xfId="66" applyFont="1" applyAlignment="1" applyProtection="1" quotePrefix="1">
      <alignment horizontal="left"/>
      <protection/>
    </xf>
    <xf numFmtId="9" fontId="4" fillId="0" borderId="0" xfId="70" applyAlignment="1" applyProtection="1">
      <alignment horizontal="right"/>
      <protection/>
    </xf>
    <xf numFmtId="39" fontId="16" fillId="0" borderId="0" xfId="0" applyNumberFormat="1" applyFont="1" applyAlignment="1" applyProtection="1">
      <alignment/>
      <protection/>
    </xf>
    <xf numFmtId="166" fontId="16" fillId="0" borderId="0" xfId="0" applyNumberFormat="1" applyFont="1" applyAlignment="1">
      <alignment/>
    </xf>
    <xf numFmtId="164" fontId="18" fillId="0" borderId="0" xfId="0" applyFont="1" applyAlignment="1">
      <alignment/>
    </xf>
    <xf numFmtId="15" fontId="18" fillId="0" borderId="0" xfId="0" applyNumberFormat="1" applyFont="1" applyAlignment="1" applyProtection="1">
      <alignment horizontal="left"/>
      <protection/>
    </xf>
    <xf numFmtId="164" fontId="18" fillId="0" borderId="0" xfId="0" applyFont="1" applyAlignment="1">
      <alignment horizontal="center"/>
    </xf>
    <xf numFmtId="176" fontId="18" fillId="0" borderId="0" xfId="0" applyNumberFormat="1" applyFont="1" applyAlignment="1">
      <alignment horizontal="center"/>
    </xf>
    <xf numFmtId="1" fontId="18" fillId="0" borderId="0" xfId="0" applyNumberFormat="1" applyFont="1" applyAlignment="1" applyProtection="1">
      <alignment/>
      <protection/>
    </xf>
    <xf numFmtId="1" fontId="18" fillId="0" borderId="0" xfId="0" applyNumberFormat="1" applyFont="1" applyAlignment="1">
      <alignment/>
    </xf>
    <xf numFmtId="164" fontId="18" fillId="0" borderId="0" xfId="0" applyNumberFormat="1" applyFont="1" applyAlignment="1" applyProtection="1" quotePrefix="1">
      <alignment horizontal="left"/>
      <protection/>
    </xf>
    <xf numFmtId="164" fontId="18" fillId="0" borderId="0" xfId="0" applyNumberFormat="1" applyFont="1" applyAlignment="1" applyProtection="1">
      <alignment/>
      <protection/>
    </xf>
    <xf numFmtId="164" fontId="19" fillId="0" borderId="0" xfId="0" applyFont="1" applyAlignment="1" quotePrefix="1">
      <alignment horizontal="left"/>
    </xf>
    <xf numFmtId="164" fontId="19" fillId="33" borderId="24" xfId="0" applyNumberFormat="1" applyFont="1" applyFill="1" applyBorder="1" applyAlignment="1" applyProtection="1">
      <alignment/>
      <protection/>
    </xf>
    <xf numFmtId="164" fontId="19" fillId="33" borderId="25" xfId="0" applyNumberFormat="1" applyFont="1" applyFill="1" applyBorder="1" applyAlignment="1" applyProtection="1">
      <alignment/>
      <protection/>
    </xf>
    <xf numFmtId="164" fontId="19" fillId="33" borderId="25" xfId="0" applyNumberFormat="1" applyFont="1" applyFill="1" applyBorder="1" applyAlignment="1" applyProtection="1">
      <alignment horizontal="center"/>
      <protection/>
    </xf>
    <xf numFmtId="176" fontId="19" fillId="33" borderId="25" xfId="0" applyNumberFormat="1" applyFont="1" applyFill="1" applyBorder="1" applyAlignment="1" applyProtection="1">
      <alignment horizontal="center"/>
      <protection/>
    </xf>
    <xf numFmtId="1" fontId="19" fillId="33" borderId="25" xfId="0" applyNumberFormat="1" applyFont="1" applyFill="1" applyBorder="1" applyAlignment="1" applyProtection="1">
      <alignment/>
      <protection/>
    </xf>
    <xf numFmtId="1" fontId="19" fillId="33" borderId="25" xfId="0" applyNumberFormat="1" applyFont="1" applyFill="1" applyBorder="1" applyAlignment="1" applyProtection="1">
      <alignment horizontal="left"/>
      <protection/>
    </xf>
    <xf numFmtId="164" fontId="19" fillId="33" borderId="25" xfId="0" applyNumberFormat="1" applyFont="1" applyFill="1" applyBorder="1" applyAlignment="1" applyProtection="1">
      <alignment horizontal="centerContinuous"/>
      <protection/>
    </xf>
    <xf numFmtId="164" fontId="19" fillId="33" borderId="26" xfId="0" applyNumberFormat="1" applyFont="1" applyFill="1" applyBorder="1" applyAlignment="1" applyProtection="1">
      <alignment/>
      <protection/>
    </xf>
    <xf numFmtId="164" fontId="19" fillId="33" borderId="27" xfId="0" applyNumberFormat="1" applyFont="1" applyFill="1" applyBorder="1" applyAlignment="1" applyProtection="1">
      <alignment/>
      <protection/>
    </xf>
    <xf numFmtId="164" fontId="19" fillId="33" borderId="0" xfId="0" applyNumberFormat="1" applyFont="1" applyFill="1" applyBorder="1" applyAlignment="1" applyProtection="1">
      <alignment/>
      <protection/>
    </xf>
    <xf numFmtId="164" fontId="19" fillId="33" borderId="28" xfId="0" applyNumberFormat="1" applyFont="1" applyFill="1" applyBorder="1" applyAlignment="1" applyProtection="1">
      <alignment horizontal="left"/>
      <protection/>
    </xf>
    <xf numFmtId="164" fontId="19" fillId="33" borderId="17" xfId="0" applyNumberFormat="1" applyFont="1" applyFill="1" applyBorder="1" applyAlignment="1" applyProtection="1">
      <alignment horizontal="left"/>
      <protection/>
    </xf>
    <xf numFmtId="164" fontId="19" fillId="33" borderId="17" xfId="0" applyNumberFormat="1" applyFont="1" applyFill="1" applyBorder="1" applyAlignment="1" applyProtection="1">
      <alignment horizontal="center"/>
      <protection/>
    </xf>
    <xf numFmtId="176" fontId="19" fillId="33" borderId="17" xfId="0" applyNumberFormat="1" applyFont="1" applyFill="1" applyBorder="1" applyAlignment="1" applyProtection="1">
      <alignment horizontal="center"/>
      <protection/>
    </xf>
    <xf numFmtId="1" fontId="19" fillId="33" borderId="17" xfId="0" applyNumberFormat="1" applyFont="1" applyFill="1" applyBorder="1" applyAlignment="1" applyProtection="1">
      <alignment horizontal="center"/>
      <protection/>
    </xf>
    <xf numFmtId="164" fontId="19" fillId="33" borderId="17" xfId="0" applyNumberFormat="1" applyFont="1" applyFill="1" applyBorder="1" applyAlignment="1" applyProtection="1">
      <alignment horizontal="right"/>
      <protection/>
    </xf>
    <xf numFmtId="164" fontId="19" fillId="33" borderId="18" xfId="0" applyNumberFormat="1" applyFont="1" applyFill="1" applyBorder="1" applyAlignment="1" applyProtection="1">
      <alignment horizontal="center"/>
      <protection/>
    </xf>
    <xf numFmtId="166" fontId="18" fillId="0" borderId="0" xfId="0" applyNumberFormat="1" applyFont="1" applyAlignment="1" applyProtection="1">
      <alignment horizontal="center"/>
      <protection/>
    </xf>
    <xf numFmtId="176" fontId="18" fillId="0" borderId="0" xfId="0" applyNumberFormat="1" applyFont="1" applyAlignment="1" applyProtection="1">
      <alignment horizontal="center"/>
      <protection/>
    </xf>
    <xf numFmtId="168" fontId="18" fillId="0" borderId="0" xfId="0" applyNumberFormat="1" applyFont="1" applyAlignment="1" applyProtection="1">
      <alignment/>
      <protection/>
    </xf>
    <xf numFmtId="164" fontId="18" fillId="0" borderId="0" xfId="0" applyNumberFormat="1" applyFont="1" applyAlignment="1" applyProtection="1">
      <alignment horizontal="center"/>
      <protection/>
    </xf>
    <xf numFmtId="164" fontId="18" fillId="0" borderId="0" xfId="0" applyNumberFormat="1" applyFont="1" applyAlignment="1" applyProtection="1">
      <alignment horizontal="left"/>
      <protection/>
    </xf>
    <xf numFmtId="1" fontId="18" fillId="0" borderId="0" xfId="0" applyNumberFormat="1" applyFont="1" applyAlignment="1" applyProtection="1">
      <alignment horizontal="right"/>
      <protection/>
    </xf>
    <xf numFmtId="166" fontId="18" fillId="0" borderId="0" xfId="0" applyNumberFormat="1" applyFont="1" applyAlignment="1" applyProtection="1">
      <alignment horizontal="left"/>
      <protection/>
    </xf>
    <xf numFmtId="1" fontId="18" fillId="0" borderId="0" xfId="0" applyNumberFormat="1" applyFont="1" applyAlignment="1" applyProtection="1" quotePrefix="1">
      <alignment horizontal="right"/>
      <protection/>
    </xf>
    <xf numFmtId="170" fontId="18" fillId="0" borderId="0" xfId="0" applyNumberFormat="1" applyFont="1" applyAlignment="1" applyProtection="1">
      <alignment/>
      <protection/>
    </xf>
    <xf numFmtId="166" fontId="18" fillId="0" borderId="0" xfId="0" applyNumberFormat="1" applyFont="1" applyAlignment="1" applyProtection="1">
      <alignment/>
      <protection/>
    </xf>
    <xf numFmtId="2" fontId="18" fillId="0" borderId="0" xfId="0" applyNumberFormat="1" applyFont="1" applyAlignment="1">
      <alignment/>
    </xf>
    <xf numFmtId="2" fontId="19" fillId="33" borderId="25" xfId="0" applyNumberFormat="1" applyFont="1" applyFill="1" applyBorder="1" applyAlignment="1" applyProtection="1">
      <alignment horizontal="centerContinuous"/>
      <protection/>
    </xf>
    <xf numFmtId="2" fontId="19" fillId="33" borderId="25" xfId="0" applyNumberFormat="1" applyFont="1" applyFill="1" applyBorder="1" applyAlignment="1">
      <alignment horizontal="centerContinuous"/>
    </xf>
    <xf numFmtId="164" fontId="19" fillId="33" borderId="26" xfId="0" applyNumberFormat="1" applyFont="1" applyFill="1" applyBorder="1" applyAlignment="1" applyProtection="1">
      <alignment horizontal="center"/>
      <protection/>
    </xf>
    <xf numFmtId="2" fontId="19" fillId="33" borderId="17" xfId="0" applyNumberFormat="1" applyFont="1" applyFill="1" applyBorder="1" applyAlignment="1" applyProtection="1">
      <alignment horizontal="center"/>
      <protection/>
    </xf>
    <xf numFmtId="164" fontId="19" fillId="33" borderId="17" xfId="0" applyNumberFormat="1" applyFont="1" applyFill="1" applyBorder="1" applyAlignment="1" applyProtection="1">
      <alignment/>
      <protection/>
    </xf>
    <xf numFmtId="2" fontId="18" fillId="0" borderId="0" xfId="0" applyNumberFormat="1" applyFont="1" applyAlignment="1" applyProtection="1">
      <alignment/>
      <protection/>
    </xf>
    <xf numFmtId="2" fontId="18" fillId="0" borderId="0" xfId="0" applyNumberFormat="1" applyFont="1" applyAlignment="1" applyProtection="1">
      <alignment horizontal="left"/>
      <protection/>
    </xf>
    <xf numFmtId="164" fontId="18" fillId="0" borderId="0" xfId="0" applyFont="1" applyBorder="1" applyAlignment="1">
      <alignment horizontal="center"/>
    </xf>
    <xf numFmtId="164" fontId="18" fillId="33" borderId="24" xfId="0" applyNumberFormat="1" applyFont="1" applyFill="1" applyBorder="1" applyAlignment="1" applyProtection="1">
      <alignment/>
      <protection/>
    </xf>
    <xf numFmtId="164" fontId="18" fillId="33" borderId="25" xfId="0" applyNumberFormat="1" applyFont="1" applyFill="1" applyBorder="1" applyAlignment="1" applyProtection="1">
      <alignment/>
      <protection/>
    </xf>
    <xf numFmtId="2" fontId="18" fillId="33" borderId="25" xfId="0" applyNumberFormat="1" applyFont="1" applyFill="1" applyBorder="1" applyAlignment="1" applyProtection="1">
      <alignment/>
      <protection/>
    </xf>
    <xf numFmtId="2" fontId="18" fillId="33" borderId="25" xfId="0" applyNumberFormat="1" applyFont="1" applyFill="1" applyBorder="1" applyAlignment="1" applyProtection="1">
      <alignment horizontal="left"/>
      <protection/>
    </xf>
    <xf numFmtId="2" fontId="19" fillId="33" borderId="0" xfId="0" applyNumberFormat="1" applyFont="1" applyFill="1" applyBorder="1" applyAlignment="1" applyProtection="1">
      <alignment horizontal="centerContinuous"/>
      <protection/>
    </xf>
    <xf numFmtId="164" fontId="19" fillId="33" borderId="0" xfId="0" applyNumberFormat="1" applyFont="1" applyFill="1" applyBorder="1" applyAlignment="1" applyProtection="1">
      <alignment horizontal="centerContinuous"/>
      <protection/>
    </xf>
    <xf numFmtId="2" fontId="19" fillId="33" borderId="17" xfId="0" applyNumberFormat="1" applyFont="1" applyFill="1" applyBorder="1" applyAlignment="1" applyProtection="1">
      <alignment horizontal="right"/>
      <protection/>
    </xf>
    <xf numFmtId="2" fontId="18" fillId="0" borderId="0" xfId="0" applyNumberFormat="1" applyFont="1" applyAlignment="1" applyProtection="1">
      <alignment horizontal="right"/>
      <protection/>
    </xf>
    <xf numFmtId="166" fontId="18" fillId="0" borderId="0" xfId="0" applyNumberFormat="1" applyFont="1" applyAlignment="1" applyProtection="1">
      <alignment horizontal="right"/>
      <protection/>
    </xf>
    <xf numFmtId="170" fontId="18" fillId="0" borderId="0" xfId="0" applyNumberFormat="1" applyFont="1" applyAlignment="1" applyProtection="1">
      <alignment horizontal="right"/>
      <protection/>
    </xf>
    <xf numFmtId="164" fontId="18" fillId="0" borderId="0" xfId="0" applyNumberFormat="1" applyFont="1" applyAlignment="1" applyProtection="1">
      <alignment horizontal="right"/>
      <protection/>
    </xf>
    <xf numFmtId="164" fontId="19" fillId="0" borderId="0" xfId="0" applyNumberFormat="1" applyFont="1" applyAlignment="1" applyProtection="1">
      <alignment/>
      <protection/>
    </xf>
    <xf numFmtId="164" fontId="20" fillId="0" borderId="0" xfId="0" applyFont="1" applyAlignment="1">
      <alignment horizontal="right"/>
    </xf>
    <xf numFmtId="175" fontId="18" fillId="0" borderId="0" xfId="0" applyNumberFormat="1" applyFont="1" applyAlignment="1">
      <alignment/>
    </xf>
    <xf numFmtId="164" fontId="19" fillId="0" borderId="0" xfId="0" applyNumberFormat="1" applyFont="1" applyAlignment="1" applyProtection="1" quotePrefix="1">
      <alignment horizontal="left"/>
      <protection/>
    </xf>
    <xf numFmtId="175" fontId="18" fillId="0" borderId="0" xfId="0" applyNumberFormat="1" applyFont="1" applyAlignment="1" applyProtection="1">
      <alignment/>
      <protection/>
    </xf>
    <xf numFmtId="164" fontId="18" fillId="34" borderId="30" xfId="0" applyNumberFormat="1" applyFont="1" applyFill="1" applyBorder="1" applyAlignment="1" applyProtection="1">
      <alignment horizontal="left"/>
      <protection/>
    </xf>
    <xf numFmtId="175" fontId="18" fillId="34" borderId="31" xfId="0" applyNumberFormat="1" applyFont="1" applyFill="1" applyBorder="1" applyAlignment="1" applyProtection="1">
      <alignment horizontal="center"/>
      <protection/>
    </xf>
    <xf numFmtId="166" fontId="18" fillId="34" borderId="31" xfId="0" applyNumberFormat="1" applyFont="1" applyFill="1" applyBorder="1" applyAlignment="1" applyProtection="1">
      <alignment horizontal="center"/>
      <protection/>
    </xf>
    <xf numFmtId="166" fontId="18" fillId="34" borderId="32" xfId="0" applyNumberFormat="1" applyFont="1" applyFill="1" applyBorder="1" applyAlignment="1" applyProtection="1">
      <alignment horizontal="center"/>
      <protection/>
    </xf>
    <xf numFmtId="164" fontId="18" fillId="35" borderId="0" xfId="0" applyNumberFormat="1" applyFont="1" applyFill="1" applyBorder="1" applyAlignment="1" applyProtection="1">
      <alignment horizontal="left"/>
      <protection/>
    </xf>
    <xf numFmtId="175" fontId="18" fillId="0" borderId="0" xfId="0" applyNumberFormat="1" applyFont="1" applyBorder="1" applyAlignment="1" applyProtection="1">
      <alignment/>
      <protection/>
    </xf>
    <xf numFmtId="166" fontId="18" fillId="35" borderId="0" xfId="0" applyNumberFormat="1" applyFont="1" applyFill="1" applyBorder="1" applyAlignment="1" applyProtection="1">
      <alignment horizontal="center"/>
      <protection/>
    </xf>
    <xf numFmtId="2" fontId="18" fillId="0" borderId="0" xfId="0" applyNumberFormat="1" applyFont="1" applyBorder="1" applyAlignment="1" applyProtection="1">
      <alignment/>
      <protection/>
    </xf>
    <xf numFmtId="175" fontId="18" fillId="0" borderId="0" xfId="0" applyNumberFormat="1" applyFont="1" applyBorder="1" applyAlignment="1" applyProtection="1" quotePrefix="1">
      <alignment horizontal="center"/>
      <protection/>
    </xf>
    <xf numFmtId="170" fontId="18" fillId="0" borderId="0" xfId="0" applyNumberFormat="1" applyFont="1" applyAlignment="1" applyProtection="1">
      <alignment horizontal="left"/>
      <protection/>
    </xf>
    <xf numFmtId="175" fontId="18" fillId="0" borderId="0" xfId="0" applyNumberFormat="1" applyFont="1" applyAlignment="1" applyProtection="1">
      <alignment horizontal="right"/>
      <protection/>
    </xf>
    <xf numFmtId="164" fontId="19" fillId="0" borderId="0" xfId="0" applyFont="1" applyAlignment="1">
      <alignment/>
    </xf>
    <xf numFmtId="171" fontId="19" fillId="0" borderId="0" xfId="0" applyNumberFormat="1" applyFont="1" applyAlignment="1" applyProtection="1">
      <alignment/>
      <protection/>
    </xf>
    <xf numFmtId="2" fontId="19" fillId="0" borderId="0" xfId="0" applyNumberFormat="1" applyFont="1" applyAlignment="1" applyProtection="1">
      <alignment/>
      <protection/>
    </xf>
    <xf numFmtId="166" fontId="19" fillId="0" borderId="0" xfId="0" applyNumberFormat="1" applyFont="1" applyAlignment="1" applyProtection="1">
      <alignment/>
      <protection/>
    </xf>
    <xf numFmtId="2" fontId="19" fillId="0" borderId="0" xfId="0" applyNumberFormat="1" applyFont="1" applyBorder="1" applyAlignment="1" applyProtection="1" quotePrefix="1">
      <alignment horizontal="right"/>
      <protection/>
    </xf>
    <xf numFmtId="175" fontId="18" fillId="0" borderId="0" xfId="0" applyNumberFormat="1" applyFont="1" applyBorder="1" applyAlignment="1" applyProtection="1" quotePrefix="1">
      <alignment horizontal="right"/>
      <protection/>
    </xf>
    <xf numFmtId="164" fontId="18" fillId="0" borderId="0" xfId="0" applyNumberFormat="1" applyFont="1" applyAlignment="1">
      <alignment/>
    </xf>
    <xf numFmtId="164" fontId="19" fillId="0" borderId="0" xfId="0" applyNumberFormat="1" applyFont="1" applyAlignment="1" applyProtection="1">
      <alignment horizontal="centerContinuous"/>
      <protection/>
    </xf>
    <xf numFmtId="164" fontId="18" fillId="0" borderId="0" xfId="0" applyNumberFormat="1" applyFont="1" applyAlignment="1" applyProtection="1">
      <alignment horizontal="centerContinuous"/>
      <protection/>
    </xf>
    <xf numFmtId="164" fontId="18" fillId="0" borderId="0" xfId="0" applyFont="1" applyAlignment="1">
      <alignment horizontal="centerContinuous"/>
    </xf>
    <xf numFmtId="164" fontId="18" fillId="0" borderId="0" xfId="0" applyNumberFormat="1" applyFont="1" applyAlignment="1">
      <alignment horizontal="centerContinuous"/>
    </xf>
    <xf numFmtId="164" fontId="18" fillId="36" borderId="33" xfId="0" applyFont="1" applyFill="1" applyBorder="1" applyAlignment="1">
      <alignment/>
    </xf>
    <xf numFmtId="164" fontId="18" fillId="36" borderId="34" xfId="0" applyFont="1" applyFill="1" applyBorder="1" applyAlignment="1">
      <alignment/>
    </xf>
    <xf numFmtId="164" fontId="18" fillId="36" borderId="34" xfId="0" applyFont="1" applyFill="1" applyBorder="1" applyAlignment="1">
      <alignment horizontal="right"/>
    </xf>
    <xf numFmtId="164" fontId="18" fillId="36" borderId="35" xfId="0" applyFont="1" applyFill="1" applyBorder="1" applyAlignment="1">
      <alignment horizontal="right"/>
    </xf>
    <xf numFmtId="39" fontId="20" fillId="0" borderId="0" xfId="0" applyNumberFormat="1" applyFont="1" applyAlignment="1" applyProtection="1">
      <alignment horizontal="right"/>
      <protection/>
    </xf>
    <xf numFmtId="39" fontId="20" fillId="0" borderId="0" xfId="0" applyNumberFormat="1" applyFont="1" applyAlignment="1" applyProtection="1">
      <alignment/>
      <protection/>
    </xf>
    <xf numFmtId="166" fontId="20" fillId="0" borderId="0" xfId="0" applyNumberFormat="1" applyFont="1" applyAlignment="1">
      <alignment/>
    </xf>
    <xf numFmtId="171" fontId="18" fillId="0" borderId="0" xfId="0" applyNumberFormat="1" applyFont="1" applyAlignment="1" applyProtection="1">
      <alignment/>
      <protection/>
    </xf>
    <xf numFmtId="164" fontId="6" fillId="0" borderId="0" xfId="0" applyFont="1" applyAlignment="1">
      <alignment/>
    </xf>
    <xf numFmtId="2" fontId="6" fillId="0" borderId="0" xfId="0" applyNumberFormat="1" applyFont="1" applyBorder="1" applyAlignment="1" applyProtection="1" quotePrefix="1">
      <alignment horizontal="right"/>
      <protection/>
    </xf>
    <xf numFmtId="0" fontId="4" fillId="0" borderId="36" xfId="66" applyFont="1" applyBorder="1" applyAlignment="1" applyProtection="1">
      <alignment horizontal="left"/>
      <protection/>
    </xf>
    <xf numFmtId="0" fontId="1" fillId="0" borderId="21" xfId="66" applyFont="1" applyBorder="1" applyAlignment="1" applyProtection="1" quotePrefix="1">
      <alignment horizontal="left"/>
      <protection/>
    </xf>
    <xf numFmtId="2" fontId="1" fillId="0" borderId="21" xfId="66" applyNumberFormat="1" applyFont="1" applyBorder="1" applyAlignment="1" applyProtection="1">
      <alignment horizontal="center"/>
      <protection/>
    </xf>
    <xf numFmtId="2" fontId="1" fillId="0" borderId="37" xfId="66" applyNumberFormat="1" applyFont="1" applyBorder="1" applyAlignment="1" applyProtection="1">
      <alignment horizontal="center"/>
      <protection/>
    </xf>
    <xf numFmtId="0" fontId="4" fillId="0" borderId="0" xfId="66" applyFont="1" applyAlignment="1" applyProtection="1">
      <alignment horizontal="centerContinuous"/>
      <protection/>
    </xf>
    <xf numFmtId="0" fontId="10" fillId="0" borderId="0" xfId="66" applyFont="1" applyAlignment="1" applyProtection="1">
      <alignment horizontal="left"/>
      <protection/>
    </xf>
    <xf numFmtId="164" fontId="18" fillId="0" borderId="0" xfId="0" applyFont="1" applyAlignment="1">
      <alignment horizontal="left"/>
    </xf>
    <xf numFmtId="164" fontId="20" fillId="0" borderId="0" xfId="0" applyFont="1" applyAlignment="1">
      <alignment horizontal="left"/>
    </xf>
    <xf numFmtId="164" fontId="20" fillId="0" borderId="0" xfId="0" applyNumberFormat="1" applyFont="1" applyAlignment="1" applyProtection="1">
      <alignment/>
      <protection/>
    </xf>
    <xf numFmtId="175" fontId="20" fillId="0" borderId="0" xfId="0" applyNumberFormat="1" applyFont="1" applyBorder="1" applyAlignment="1" applyProtection="1" quotePrefix="1">
      <alignment horizontal="right"/>
      <protection/>
    </xf>
    <xf numFmtId="2" fontId="20" fillId="0" borderId="0" xfId="0" applyNumberFormat="1" applyFont="1" applyAlignment="1" applyProtection="1">
      <alignment/>
      <protection/>
    </xf>
    <xf numFmtId="0" fontId="4" fillId="0" borderId="0" xfId="66" applyFont="1" applyAlignment="1" applyProtection="1">
      <alignment horizontal="center"/>
      <protection/>
    </xf>
    <xf numFmtId="0" fontId="4" fillId="0" borderId="38" xfId="66" applyFont="1" applyBorder="1" applyProtection="1">
      <alignment/>
      <protection/>
    </xf>
    <xf numFmtId="164" fontId="19" fillId="33" borderId="0" xfId="0" applyNumberFormat="1" applyFont="1" applyFill="1" applyBorder="1" applyAlignment="1" applyProtection="1">
      <alignment horizontal="center"/>
      <protection/>
    </xf>
    <xf numFmtId="164" fontId="18" fillId="33" borderId="26" xfId="0" applyFont="1" applyFill="1" applyBorder="1" applyAlignment="1">
      <alignment horizontal="center"/>
    </xf>
    <xf numFmtId="164" fontId="18" fillId="33" borderId="16" xfId="0" applyFont="1" applyFill="1" applyBorder="1" applyAlignment="1">
      <alignment horizontal="center"/>
    </xf>
    <xf numFmtId="164" fontId="18" fillId="33" borderId="18" xfId="0" applyFont="1" applyFill="1" applyBorder="1" applyAlignment="1">
      <alignment horizontal="center"/>
    </xf>
    <xf numFmtId="166" fontId="18" fillId="0" borderId="0" xfId="0" applyNumberFormat="1" applyFont="1" applyBorder="1" applyAlignment="1" applyProtection="1">
      <alignment horizontal="center"/>
      <protection/>
    </xf>
    <xf numFmtId="2" fontId="18" fillId="0" borderId="0" xfId="0" applyNumberFormat="1" applyFont="1" applyBorder="1" applyAlignment="1" applyProtection="1">
      <alignment horizontal="right"/>
      <protection/>
    </xf>
    <xf numFmtId="1" fontId="18" fillId="0" borderId="0" xfId="0" applyNumberFormat="1" applyFont="1" applyAlignment="1" applyProtection="1">
      <alignment horizontal="center"/>
      <protection/>
    </xf>
    <xf numFmtId="1" fontId="18" fillId="0" borderId="0" xfId="0" applyNumberFormat="1" applyFont="1" applyAlignment="1" applyProtection="1" quotePrefix="1">
      <alignment horizontal="center"/>
      <protection/>
    </xf>
    <xf numFmtId="164" fontId="2" fillId="0" borderId="0" xfId="0" applyNumberFormat="1" applyFont="1" applyAlignment="1" applyProtection="1">
      <alignment horizontal="left"/>
      <protection/>
    </xf>
    <xf numFmtId="187" fontId="18" fillId="0" borderId="0" xfId="0" applyNumberFormat="1" applyFont="1" applyAlignment="1" applyProtection="1">
      <alignment/>
      <protection/>
    </xf>
    <xf numFmtId="187" fontId="18" fillId="0" borderId="0" xfId="0" applyNumberFormat="1" applyFont="1" applyAlignment="1">
      <alignment/>
    </xf>
    <xf numFmtId="187" fontId="19" fillId="33" borderId="25" xfId="0" applyNumberFormat="1" applyFont="1" applyFill="1" applyBorder="1" applyAlignment="1" applyProtection="1">
      <alignment horizontal="centerContinuous"/>
      <protection/>
    </xf>
    <xf numFmtId="187" fontId="19" fillId="33" borderId="17" xfId="0" applyNumberFormat="1" applyFont="1" applyFill="1" applyBorder="1" applyAlignment="1" applyProtection="1">
      <alignment horizontal="center"/>
      <protection/>
    </xf>
    <xf numFmtId="187" fontId="18" fillId="0" borderId="0" xfId="0" applyNumberFormat="1" applyFont="1" applyAlignment="1" applyProtection="1">
      <alignment horizontal="center"/>
      <protection/>
    </xf>
    <xf numFmtId="2" fontId="19" fillId="0" borderId="0" xfId="0" applyNumberFormat="1" applyFont="1" applyAlignment="1" applyProtection="1">
      <alignment horizontal="right"/>
      <protection/>
    </xf>
    <xf numFmtId="2" fontId="18" fillId="0" borderId="21" xfId="0" applyNumberFormat="1" applyFont="1" applyBorder="1" applyAlignment="1" applyProtection="1">
      <alignment/>
      <protection/>
    </xf>
    <xf numFmtId="0" fontId="16" fillId="37" borderId="0" xfId="58" applyFont="1" applyFill="1" applyAlignment="1">
      <alignment horizontal="center" vertical="center"/>
      <protection/>
    </xf>
    <xf numFmtId="49" fontId="16" fillId="37" borderId="0" xfId="58" applyNumberFormat="1" applyFont="1" applyFill="1" applyAlignment="1">
      <alignment horizontal="center" vertical="center"/>
      <protection/>
    </xf>
    <xf numFmtId="0" fontId="16" fillId="37" borderId="0" xfId="58" applyFont="1" applyFill="1">
      <alignment/>
      <protection/>
    </xf>
    <xf numFmtId="0" fontId="16" fillId="37" borderId="0" xfId="62" applyFont="1" applyFill="1">
      <alignment/>
      <protection/>
    </xf>
    <xf numFmtId="0" fontId="6" fillId="37" borderId="0" xfId="58" applyFont="1" applyFill="1" applyAlignment="1">
      <alignment horizontal="center" vertical="center"/>
      <protection/>
    </xf>
    <xf numFmtId="0" fontId="6" fillId="37" borderId="0" xfId="58" applyFont="1" applyFill="1" applyAlignment="1">
      <alignment/>
      <protection/>
    </xf>
    <xf numFmtId="0" fontId="22" fillId="37" borderId="0" xfId="58" applyFont="1" applyFill="1" applyAlignment="1">
      <alignment horizontal="center" vertical="center"/>
      <protection/>
    </xf>
    <xf numFmtId="0" fontId="6" fillId="37" borderId="24" xfId="58" applyFont="1" applyFill="1" applyBorder="1" applyAlignment="1">
      <alignment horizontal="center" vertical="center"/>
      <protection/>
    </xf>
    <xf numFmtId="0" fontId="6" fillId="37" borderId="25" xfId="58" applyFont="1" applyFill="1" applyBorder="1" applyAlignment="1">
      <alignment horizontal="center" vertical="center"/>
      <protection/>
    </xf>
    <xf numFmtId="49" fontId="6" fillId="37" borderId="25" xfId="58" applyNumberFormat="1" applyFont="1" applyFill="1" applyBorder="1" applyAlignment="1">
      <alignment horizontal="center" vertical="center"/>
      <protection/>
    </xf>
    <xf numFmtId="0" fontId="6" fillId="37" borderId="26" xfId="58" applyFont="1" applyFill="1" applyBorder="1" applyAlignment="1">
      <alignment horizontal="center" vertical="center"/>
      <protection/>
    </xf>
    <xf numFmtId="0" fontId="60" fillId="37" borderId="0" xfId="58" applyFont="1" applyFill="1" applyAlignment="1">
      <alignment horizontal="center" vertical="center"/>
      <protection/>
    </xf>
    <xf numFmtId="0" fontId="6" fillId="37" borderId="28" xfId="58" applyFont="1" applyFill="1" applyBorder="1" applyAlignment="1">
      <alignment horizontal="left"/>
      <protection/>
    </xf>
    <xf numFmtId="0" fontId="6" fillId="37" borderId="17" xfId="58" applyFont="1" applyFill="1" applyBorder="1" applyAlignment="1">
      <alignment horizontal="left"/>
      <protection/>
    </xf>
    <xf numFmtId="49" fontId="6" fillId="37" borderId="17" xfId="58" applyNumberFormat="1" applyFont="1" applyFill="1" applyBorder="1" applyAlignment="1" quotePrefix="1">
      <alignment horizontal="center"/>
      <protection/>
    </xf>
    <xf numFmtId="0" fontId="16" fillId="37" borderId="17" xfId="58" applyFont="1" applyFill="1" applyBorder="1" applyAlignment="1">
      <alignment horizontal="left" textRotation="45"/>
      <protection/>
    </xf>
    <xf numFmtId="0" fontId="6" fillId="37" borderId="17" xfId="58" applyFont="1" applyFill="1" applyBorder="1" applyAlignment="1">
      <alignment horizontal="center"/>
      <protection/>
    </xf>
    <xf numFmtId="0" fontId="6" fillId="37" borderId="18" xfId="58" applyFont="1" applyFill="1" applyBorder="1" applyAlignment="1">
      <alignment horizontal="center"/>
      <protection/>
    </xf>
    <xf numFmtId="0" fontId="60" fillId="37" borderId="0" xfId="58" applyFont="1" applyFill="1">
      <alignment/>
      <protection/>
    </xf>
    <xf numFmtId="0" fontId="16" fillId="37" borderId="24" xfId="58" applyFont="1" applyFill="1" applyBorder="1" applyAlignment="1">
      <alignment horizontal="left" vertical="center"/>
      <protection/>
    </xf>
    <xf numFmtId="0" fontId="16" fillId="37" borderId="25" xfId="58" applyFont="1" applyFill="1" applyBorder="1" applyAlignment="1">
      <alignment horizontal="left" vertical="center"/>
      <protection/>
    </xf>
    <xf numFmtId="49" fontId="16" fillId="37" borderId="25" xfId="58" applyNumberFormat="1" applyFont="1" applyFill="1" applyBorder="1" applyAlignment="1">
      <alignment horizontal="center" vertical="center"/>
      <protection/>
    </xf>
    <xf numFmtId="0" fontId="16" fillId="37" borderId="25" xfId="58" applyFont="1" applyFill="1" applyBorder="1" applyAlignment="1">
      <alignment horizontal="center" vertical="center"/>
      <protection/>
    </xf>
    <xf numFmtId="0" fontId="16" fillId="37" borderId="26" xfId="58" applyFont="1" applyFill="1" applyBorder="1" applyAlignment="1">
      <alignment horizontal="center" vertical="center"/>
      <protection/>
    </xf>
    <xf numFmtId="0" fontId="16" fillId="0" borderId="27" xfId="62" applyFont="1" applyBorder="1">
      <alignment/>
      <protection/>
    </xf>
    <xf numFmtId="0" fontId="16" fillId="0" borderId="0" xfId="62" applyFont="1" applyBorder="1">
      <alignment/>
      <protection/>
    </xf>
    <xf numFmtId="0" fontId="16" fillId="0" borderId="0" xfId="62" applyFont="1" applyBorder="1" applyAlignment="1">
      <alignment horizontal="center"/>
      <protection/>
    </xf>
    <xf numFmtId="167" fontId="16" fillId="37" borderId="0" xfId="58" applyNumberFormat="1" applyFont="1" applyFill="1" applyBorder="1" applyAlignment="1">
      <alignment horizontal="center" vertical="center"/>
      <protection/>
    </xf>
    <xf numFmtId="0" fontId="16" fillId="37" borderId="0" xfId="58" applyFont="1" applyFill="1" applyBorder="1" applyAlignment="1">
      <alignment horizontal="center" vertical="center"/>
      <protection/>
    </xf>
    <xf numFmtId="0" fontId="16" fillId="37" borderId="16" xfId="58" applyFont="1" applyFill="1" applyBorder="1" applyAlignment="1">
      <alignment horizontal="center" vertical="center"/>
      <protection/>
    </xf>
    <xf numFmtId="167" fontId="16" fillId="37" borderId="0" xfId="60" applyNumberFormat="1" applyFont="1" applyFill="1" applyBorder="1" applyAlignment="1" quotePrefix="1">
      <alignment horizontal="center" vertical="center"/>
      <protection/>
    </xf>
    <xf numFmtId="166" fontId="16" fillId="37" borderId="0" xfId="60" applyNumberFormat="1" applyFont="1" applyFill="1" applyBorder="1" applyAlignment="1">
      <alignment horizontal="center" vertical="center"/>
      <protection/>
    </xf>
    <xf numFmtId="166" fontId="16" fillId="37" borderId="0" xfId="60" applyNumberFormat="1" applyFont="1" applyFill="1" applyBorder="1" applyAlignment="1" quotePrefix="1">
      <alignment horizontal="center" vertical="center"/>
      <protection/>
    </xf>
    <xf numFmtId="164" fontId="16" fillId="37" borderId="0" xfId="60" applyFont="1" applyFill="1" applyBorder="1" applyAlignment="1">
      <alignment horizontal="center" vertical="center"/>
      <protection/>
    </xf>
    <xf numFmtId="0" fontId="16" fillId="0" borderId="28" xfId="62" applyFont="1" applyBorder="1">
      <alignment/>
      <protection/>
    </xf>
    <xf numFmtId="0" fontId="16" fillId="0" borderId="17" xfId="62" applyFont="1" applyBorder="1">
      <alignment/>
      <protection/>
    </xf>
    <xf numFmtId="0" fontId="16" fillId="0" borderId="17" xfId="62" applyFont="1" applyBorder="1" applyAlignment="1">
      <alignment horizontal="center"/>
      <protection/>
    </xf>
    <xf numFmtId="167" fontId="16" fillId="37" borderId="17" xfId="58" applyNumberFormat="1" applyFont="1" applyFill="1" applyBorder="1" applyAlignment="1">
      <alignment horizontal="center" vertical="center"/>
      <protection/>
    </xf>
    <xf numFmtId="0" fontId="16" fillId="37" borderId="17" xfId="58" applyFont="1" applyFill="1" applyBorder="1" applyAlignment="1">
      <alignment horizontal="center" vertical="center"/>
      <protection/>
    </xf>
    <xf numFmtId="0" fontId="16" fillId="37" borderId="18" xfId="58" applyFont="1" applyFill="1" applyBorder="1" applyAlignment="1">
      <alignment horizontal="center" vertical="center"/>
      <protection/>
    </xf>
    <xf numFmtId="0" fontId="16" fillId="37" borderId="0" xfId="58" applyFont="1" applyFill="1" applyBorder="1" applyAlignment="1">
      <alignment horizontal="left" vertical="center"/>
      <protection/>
    </xf>
    <xf numFmtId="49" fontId="16" fillId="37" borderId="0" xfId="58" applyNumberFormat="1" applyFont="1" applyFill="1" applyBorder="1" applyAlignment="1">
      <alignment horizontal="center" vertical="center"/>
      <protection/>
    </xf>
    <xf numFmtId="0" fontId="16" fillId="37" borderId="0" xfId="58" applyFont="1" applyFill="1" applyBorder="1" applyAlignment="1" quotePrefix="1">
      <alignment horizontal="center" vertical="center"/>
      <protection/>
    </xf>
    <xf numFmtId="164" fontId="16" fillId="37" borderId="0" xfId="58" applyNumberFormat="1" applyFont="1" applyFill="1" applyBorder="1" applyAlignment="1">
      <alignment horizontal="center" vertical="center"/>
      <protection/>
    </xf>
    <xf numFmtId="0" fontId="4" fillId="37" borderId="0" xfId="63" applyFont="1" applyFill="1" applyAlignment="1">
      <alignment horizontal="left" vertical="center"/>
      <protection/>
    </xf>
    <xf numFmtId="164" fontId="4" fillId="37" borderId="0" xfId="64" applyFont="1" applyFill="1" applyProtection="1">
      <alignment/>
      <protection locked="0"/>
    </xf>
    <xf numFmtId="49" fontId="60" fillId="37" borderId="0" xfId="58" applyNumberFormat="1" applyFont="1" applyFill="1" applyAlignment="1">
      <alignment horizontal="center" vertical="center"/>
      <protection/>
    </xf>
    <xf numFmtId="0" fontId="4" fillId="37" borderId="0" xfId="58" applyFont="1" applyFill="1" applyAlignment="1">
      <alignment horizontal="center" vertical="center"/>
      <protection/>
    </xf>
    <xf numFmtId="0" fontId="4" fillId="37" borderId="0" xfId="58" applyFont="1" applyFill="1" applyAlignment="1" applyProtection="1">
      <alignment horizontal="left" vertical="center"/>
      <protection locked="0"/>
    </xf>
    <xf numFmtId="49" fontId="4" fillId="37" borderId="0" xfId="58" applyNumberFormat="1" applyFont="1" applyFill="1" applyAlignment="1">
      <alignment horizontal="center" vertical="center"/>
      <protection/>
    </xf>
    <xf numFmtId="0" fontId="4" fillId="37" borderId="0" xfId="58" applyFont="1" applyFill="1">
      <alignment/>
      <protection/>
    </xf>
    <xf numFmtId="0" fontId="4" fillId="37" borderId="0" xfId="62" applyFont="1" applyFill="1">
      <alignment/>
      <protection/>
    </xf>
    <xf numFmtId="0" fontId="61" fillId="37" borderId="0" xfId="58" applyFont="1" applyFill="1" applyAlignment="1">
      <alignment horizontal="center" vertical="center"/>
      <protection/>
    </xf>
    <xf numFmtId="49" fontId="61" fillId="37" borderId="0" xfId="58" applyNumberFormat="1" applyFont="1" applyFill="1" applyAlignment="1">
      <alignment horizontal="center" vertical="center"/>
      <protection/>
    </xf>
    <xf numFmtId="0" fontId="61" fillId="37" borderId="0" xfId="58" applyFont="1" applyFill="1">
      <alignment/>
      <protection/>
    </xf>
    <xf numFmtId="0" fontId="16" fillId="37" borderId="0" xfId="61" applyFont="1" applyFill="1" applyAlignment="1">
      <alignment horizontal="center" vertical="center"/>
      <protection/>
    </xf>
    <xf numFmtId="0" fontId="16" fillId="37" borderId="0" xfId="61" applyFont="1" applyFill="1">
      <alignment/>
      <protection/>
    </xf>
    <xf numFmtId="0" fontId="6" fillId="37" borderId="0" xfId="61" applyFont="1" applyFill="1" applyAlignment="1">
      <alignment horizontal="center" vertical="center"/>
      <protection/>
    </xf>
    <xf numFmtId="0" fontId="6" fillId="37" borderId="0" xfId="61" applyFont="1" applyFill="1" applyAlignment="1">
      <alignment/>
      <protection/>
    </xf>
    <xf numFmtId="0" fontId="22" fillId="37" borderId="0" xfId="61" applyFont="1" applyFill="1" applyAlignment="1">
      <alignment horizontal="center" vertical="center"/>
      <protection/>
    </xf>
    <xf numFmtId="0" fontId="60" fillId="37" borderId="0" xfId="61" applyFont="1" applyFill="1" applyAlignment="1">
      <alignment horizontal="center" vertical="center"/>
      <protection/>
    </xf>
    <xf numFmtId="0" fontId="6" fillId="37" borderId="0" xfId="61" applyFont="1" applyFill="1" applyBorder="1" applyAlignment="1">
      <alignment horizontal="left"/>
      <protection/>
    </xf>
    <xf numFmtId="0" fontId="6" fillId="37" borderId="0" xfId="61" applyFont="1" applyFill="1" applyBorder="1" applyAlignment="1">
      <alignment horizontal="center"/>
      <protection/>
    </xf>
    <xf numFmtId="0" fontId="16" fillId="37" borderId="0" xfId="61" applyFont="1" applyFill="1" applyBorder="1" applyAlignment="1">
      <alignment horizontal="left" textRotation="45"/>
      <protection/>
    </xf>
    <xf numFmtId="0" fontId="60" fillId="37" borderId="0" xfId="61" applyFont="1" applyFill="1">
      <alignment/>
      <protection/>
    </xf>
    <xf numFmtId="0" fontId="16" fillId="37" borderId="24" xfId="61" applyFont="1" applyFill="1" applyBorder="1" applyAlignment="1">
      <alignment horizontal="left" vertical="center"/>
      <protection/>
    </xf>
    <xf numFmtId="0" fontId="16" fillId="37" borderId="25" xfId="61" applyFont="1" applyFill="1" applyBorder="1" applyAlignment="1">
      <alignment horizontal="left" vertical="center"/>
      <protection/>
    </xf>
    <xf numFmtId="0" fontId="16" fillId="37" borderId="25" xfId="61" applyFont="1" applyFill="1" applyBorder="1" applyAlignment="1">
      <alignment horizontal="center" vertical="center"/>
      <protection/>
    </xf>
    <xf numFmtId="0" fontId="16" fillId="37" borderId="26" xfId="61" applyFont="1" applyFill="1" applyBorder="1" applyAlignment="1">
      <alignment horizontal="center" vertical="center"/>
      <protection/>
    </xf>
    <xf numFmtId="0" fontId="16" fillId="37" borderId="27" xfId="62" applyFont="1" applyFill="1" applyBorder="1">
      <alignment/>
      <protection/>
    </xf>
    <xf numFmtId="0" fontId="16" fillId="37" borderId="0" xfId="62" applyFont="1" applyFill="1" applyBorder="1">
      <alignment/>
      <protection/>
    </xf>
    <xf numFmtId="0" fontId="16" fillId="37" borderId="0" xfId="62" applyFont="1" applyFill="1" applyBorder="1" applyAlignment="1">
      <alignment horizontal="center"/>
      <protection/>
    </xf>
    <xf numFmtId="11" fontId="16" fillId="37" borderId="0" xfId="61" applyNumberFormat="1" applyFont="1" applyFill="1" applyBorder="1" applyAlignment="1">
      <alignment horizontal="center" vertical="center"/>
      <protection/>
    </xf>
    <xf numFmtId="11" fontId="16" fillId="37" borderId="0" xfId="61" applyNumberFormat="1" applyFont="1" applyFill="1" applyBorder="1" applyAlignment="1" quotePrefix="1">
      <alignment horizontal="center" vertical="center"/>
      <protection/>
    </xf>
    <xf numFmtId="11" fontId="16" fillId="37" borderId="16" xfId="61" applyNumberFormat="1" applyFont="1" applyFill="1" applyBorder="1" applyAlignment="1">
      <alignment horizontal="center" vertical="center"/>
      <protection/>
    </xf>
    <xf numFmtId="0" fontId="16" fillId="37" borderId="28" xfId="61" applyFont="1" applyFill="1" applyBorder="1" applyAlignment="1">
      <alignment horizontal="left" vertical="center"/>
      <protection/>
    </xf>
    <xf numFmtId="0" fontId="16" fillId="37" borderId="17" xfId="61" applyFont="1" applyFill="1" applyBorder="1" applyAlignment="1">
      <alignment horizontal="left" vertical="center"/>
      <protection/>
    </xf>
    <xf numFmtId="0" fontId="16" fillId="37" borderId="17" xfId="61" applyFont="1" applyFill="1" applyBorder="1" applyAlignment="1">
      <alignment horizontal="center" vertical="center"/>
      <protection/>
    </xf>
    <xf numFmtId="0" fontId="16" fillId="37" borderId="18" xfId="61" applyFont="1" applyFill="1" applyBorder="1" applyAlignment="1">
      <alignment horizontal="center" vertical="center"/>
      <protection/>
    </xf>
    <xf numFmtId="0" fontId="4" fillId="37" borderId="0" xfId="61" applyFont="1" applyFill="1" applyAlignment="1">
      <alignment horizontal="center" vertical="center"/>
      <protection/>
    </xf>
    <xf numFmtId="0" fontId="4" fillId="37" borderId="0" xfId="61" applyFont="1" applyFill="1" applyAlignment="1" applyProtection="1">
      <alignment horizontal="left" vertical="center"/>
      <protection locked="0"/>
    </xf>
    <xf numFmtId="0" fontId="4" fillId="37" borderId="0" xfId="61" applyFont="1" applyFill="1">
      <alignment/>
      <protection/>
    </xf>
    <xf numFmtId="0" fontId="61" fillId="37" borderId="0" xfId="61" applyFont="1" applyFill="1" applyAlignment="1">
      <alignment horizontal="center" vertical="center"/>
      <protection/>
    </xf>
    <xf numFmtId="0" fontId="61" fillId="37" borderId="0" xfId="61" applyFont="1" applyFill="1">
      <alignment/>
      <protection/>
    </xf>
    <xf numFmtId="0" fontId="4" fillId="0" borderId="0" xfId="61" applyFont="1" applyFill="1" applyAlignment="1" applyProtection="1">
      <alignment horizontal="left" vertical="center"/>
      <protection locked="0"/>
    </xf>
    <xf numFmtId="0" fontId="4" fillId="0" borderId="0" xfId="65" applyFont="1" applyFill="1" applyAlignment="1">
      <alignment horizontal="left"/>
      <protection/>
    </xf>
    <xf numFmtId="0" fontId="61" fillId="37" borderId="0" xfId="59" applyFont="1" applyFill="1">
      <alignment/>
      <protection/>
    </xf>
    <xf numFmtId="0" fontId="4" fillId="37" borderId="0" xfId="59" applyFont="1" applyFill="1">
      <alignment/>
      <protection/>
    </xf>
    <xf numFmtId="0" fontId="62" fillId="37" borderId="0" xfId="59" applyFont="1" applyFill="1" applyAlignment="1" quotePrefix="1">
      <alignment horizontal="center" vertical="center"/>
      <protection/>
    </xf>
    <xf numFmtId="0" fontId="1" fillId="37" borderId="0" xfId="59" applyFont="1" applyFill="1" applyAlignment="1">
      <alignment vertical="center"/>
      <protection/>
    </xf>
    <xf numFmtId="0" fontId="1" fillId="37" borderId="0" xfId="59" applyFont="1" applyFill="1" applyAlignment="1" quotePrefix="1">
      <alignment vertical="center"/>
      <protection/>
    </xf>
    <xf numFmtId="0" fontId="60" fillId="37" borderId="0" xfId="59" applyFont="1" applyFill="1" applyBorder="1">
      <alignment/>
      <protection/>
    </xf>
    <xf numFmtId="0" fontId="6" fillId="37" borderId="0" xfId="59" applyFont="1" applyFill="1" applyBorder="1" applyAlignment="1">
      <alignment horizontal="left"/>
      <protection/>
    </xf>
    <xf numFmtId="0" fontId="16" fillId="37" borderId="0" xfId="59" applyFont="1" applyFill="1" applyBorder="1" applyAlignment="1">
      <alignment horizontal="left" textRotation="45"/>
      <protection/>
    </xf>
    <xf numFmtId="0" fontId="6" fillId="37" borderId="0" xfId="67" applyFont="1" applyFill="1" applyBorder="1" applyAlignment="1" applyProtection="1">
      <alignment horizontal="left" textRotation="45"/>
      <protection locked="0"/>
    </xf>
    <xf numFmtId="0" fontId="16" fillId="37" borderId="0" xfId="59" applyFont="1" applyFill="1">
      <alignment/>
      <protection/>
    </xf>
    <xf numFmtId="0" fontId="60" fillId="37" borderId="0" xfId="59" applyFont="1" applyFill="1" applyAlignment="1">
      <alignment horizontal="center"/>
      <protection/>
    </xf>
    <xf numFmtId="0" fontId="60" fillId="37" borderId="0" xfId="59" applyFont="1" applyFill="1">
      <alignment/>
      <protection/>
    </xf>
    <xf numFmtId="0" fontId="6" fillId="37" borderId="24" xfId="59" applyFont="1" applyFill="1" applyBorder="1">
      <alignment/>
      <protection/>
    </xf>
    <xf numFmtId="0" fontId="6" fillId="37" borderId="25" xfId="59" applyFont="1" applyFill="1" applyBorder="1" applyAlignment="1">
      <alignment horizontal="left"/>
      <protection/>
    </xf>
    <xf numFmtId="11" fontId="6" fillId="37" borderId="26" xfId="59" applyNumberFormat="1" applyFont="1" applyFill="1" applyBorder="1" applyAlignment="1">
      <alignment horizontal="center" vertical="center"/>
      <protection/>
    </xf>
    <xf numFmtId="0" fontId="16" fillId="37" borderId="0" xfId="59" applyFont="1" applyFill="1" applyAlignment="1">
      <alignment horizontal="center"/>
      <protection/>
    </xf>
    <xf numFmtId="0" fontId="6" fillId="37" borderId="27" xfId="59" applyFont="1" applyFill="1" applyBorder="1">
      <alignment/>
      <protection/>
    </xf>
    <xf numFmtId="0" fontId="6" fillId="37" borderId="0" xfId="59" applyFont="1" applyFill="1" applyBorder="1" applyAlignment="1" quotePrefix="1">
      <alignment horizontal="center" vertical="center"/>
      <protection/>
    </xf>
    <xf numFmtId="11" fontId="6" fillId="37" borderId="16" xfId="59" applyNumberFormat="1" applyFont="1" applyFill="1" applyBorder="1" applyAlignment="1">
      <alignment horizontal="center" vertical="center"/>
      <protection/>
    </xf>
    <xf numFmtId="11" fontId="6" fillId="37" borderId="31" xfId="59" applyNumberFormat="1" applyFont="1" applyFill="1" applyBorder="1" applyAlignment="1">
      <alignment horizontal="center" vertical="center"/>
      <protection/>
    </xf>
    <xf numFmtId="11" fontId="6" fillId="37" borderId="32" xfId="59" applyNumberFormat="1" applyFont="1" applyFill="1" applyBorder="1" applyAlignment="1">
      <alignment horizontal="center" vertical="center"/>
      <protection/>
    </xf>
    <xf numFmtId="11" fontId="16" fillId="37" borderId="0" xfId="59" applyNumberFormat="1" applyFont="1" applyFill="1" applyAlignment="1">
      <alignment horizontal="center"/>
      <protection/>
    </xf>
    <xf numFmtId="0" fontId="4" fillId="37" borderId="0" xfId="59" applyFont="1" applyFill="1" applyAlignment="1">
      <alignment horizontal="center"/>
      <protection/>
    </xf>
    <xf numFmtId="0" fontId="61" fillId="37" borderId="0" xfId="59" applyFont="1" applyFill="1" applyAlignment="1">
      <alignment horizontal="center"/>
      <protection/>
    </xf>
    <xf numFmtId="11" fontId="6" fillId="37" borderId="0" xfId="59" applyNumberFormat="1" applyFont="1" applyFill="1" applyBorder="1" applyAlignment="1">
      <alignment horizontal="center" vertical="center"/>
      <protection/>
    </xf>
    <xf numFmtId="11" fontId="6" fillId="37" borderId="25" xfId="59" applyNumberFormat="1" applyFont="1" applyFill="1" applyBorder="1" applyAlignment="1">
      <alignment horizontal="center" vertical="center"/>
      <protection/>
    </xf>
    <xf numFmtId="11" fontId="6" fillId="37" borderId="25" xfId="59" applyNumberFormat="1" applyFont="1" applyFill="1" applyBorder="1" applyAlignment="1" quotePrefix="1">
      <alignment horizontal="center" vertical="center"/>
      <protection/>
    </xf>
    <xf numFmtId="11" fontId="16" fillId="37" borderId="16" xfId="61" applyNumberFormat="1" applyFont="1" applyFill="1" applyBorder="1" applyAlignment="1" quotePrefix="1">
      <alignment horizontal="center" vertical="center"/>
      <protection/>
    </xf>
    <xf numFmtId="11" fontId="6" fillId="37" borderId="0" xfId="59" applyNumberFormat="1" applyFont="1" applyFill="1" applyBorder="1" applyAlignment="1" quotePrefix="1">
      <alignment horizontal="center" vertical="center"/>
      <protection/>
    </xf>
    <xf numFmtId="164" fontId="19" fillId="0" borderId="0" xfId="0" applyNumberFormat="1" applyFont="1" applyAlignment="1" applyProtection="1" quotePrefix="1">
      <alignment horizontal="center"/>
      <protection/>
    </xf>
    <xf numFmtId="164" fontId="19" fillId="0" borderId="0" xfId="0" applyNumberFormat="1" applyFont="1" applyAlignment="1" applyProtection="1">
      <alignment horizontal="center"/>
      <protection/>
    </xf>
    <xf numFmtId="0" fontId="21" fillId="37" borderId="0" xfId="58" applyFont="1" applyFill="1" applyAlignment="1">
      <alignment horizontal="center" vertical="center"/>
      <protection/>
    </xf>
    <xf numFmtId="0" fontId="21" fillId="37" borderId="0" xfId="58" applyFont="1" applyFill="1" applyAlignment="1" quotePrefix="1">
      <alignment horizontal="center" vertical="center"/>
      <protection/>
    </xf>
    <xf numFmtId="0" fontId="6" fillId="37" borderId="25" xfId="58" applyFont="1" applyFill="1" applyBorder="1" applyAlignment="1">
      <alignment horizontal="center" vertical="center"/>
      <protection/>
    </xf>
    <xf numFmtId="0" fontId="21" fillId="37" borderId="0" xfId="61" applyFont="1" applyFill="1" applyAlignment="1">
      <alignment horizontal="center" vertical="center"/>
      <protection/>
    </xf>
    <xf numFmtId="0" fontId="21" fillId="37" borderId="0" xfId="61" applyFont="1" applyFill="1" applyAlignment="1" quotePrefix="1">
      <alignment horizontal="center" vertical="center"/>
      <protection/>
    </xf>
    <xf numFmtId="0" fontId="62" fillId="37" borderId="0" xfId="59" applyFont="1" applyFill="1" applyAlignment="1" quotePrefix="1">
      <alignment horizontal="center" vertical="center"/>
      <protection/>
    </xf>
    <xf numFmtId="0" fontId="21" fillId="37" borderId="0" xfId="59" applyFont="1" applyFill="1" applyAlignment="1">
      <alignment horizontal="center" vertical="center"/>
      <protection/>
    </xf>
    <xf numFmtId="0" fontId="21" fillId="37" borderId="0" xfId="59" applyFont="1" applyFill="1" applyAlignment="1" quotePrefix="1">
      <alignment horizontal="center" vertical="center"/>
      <protection/>
    </xf>
    <xf numFmtId="0" fontId="6" fillId="37" borderId="30" xfId="59" applyFont="1" applyFill="1" applyBorder="1" applyAlignment="1">
      <alignment horizontal="right" vertical="center"/>
      <protection/>
    </xf>
    <xf numFmtId="0" fontId="6" fillId="37" borderId="31" xfId="59" applyFont="1" applyFill="1" applyBorder="1" applyAlignment="1">
      <alignment horizontal="right"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3" xfId="62"/>
    <cellStyle name="Normal 3 2" xfId="63"/>
    <cellStyle name="Normal 3 3" xfId="64"/>
    <cellStyle name="Normal 4" xfId="65"/>
    <cellStyle name="Normal_fhc-kvb5" xfId="66"/>
    <cellStyle name="Normal_Final T5-Reeval 8092 Calcs"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3\groups\ENGR\WP\oil&amp;gas\Exxon%20-%20SYU%20Project\POPCO\Permit%20Calcs\T5-Reeval%208092\Final%20T5-Reeval%208092%20Cal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capcd.org\shares\Groups\ENGR\WP\Oil&amp;Gas\Major%20Sources\SSID%2001063%20Venoco%20-%20Ellwood\00028%20Ellwood%20Onshore%20Facility\Reevals\PTO%207904%20-%20R11\7904-R11%20Emission%20Calculations%2012-26-2017%20-%20with%20updated%20HAP%20cal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capcd.org\shares\Groups\ENGR\WP\Oil&amp;Gas\Major%20Sources\SSID%2001063%20Venoco%20-%20Ellwood\03105%20Platform%20Holly\Reevals\PTO%208234%20-%20R10\PTO%208234%20R10%20Calcs%20-%20with%20updated%20HAP%20cal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3\groups\ENGR\WP\oil&amp;gas\Exxon%20-%20SYU%20Project\Permit%20Calcs\SYU%20Calcs%20Reeval-Part%2070\har-t-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EF"/>
      <sheetName val="Short-Term"/>
      <sheetName val="Long-Term"/>
      <sheetName val="PTE"/>
      <sheetName val="Federal PTE"/>
      <sheetName val="Exempt"/>
      <sheetName val="HAP EF"/>
      <sheetName val="HAP Emis"/>
      <sheetName val="Exempt Calcs"/>
      <sheetName val="FNEI-90 Short Term"/>
      <sheetName val="FNEI-90 Long Term"/>
      <sheetName val="FHC NEI-90"/>
      <sheetName val="HAP EF Ba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EFs"/>
      <sheetName val="Short-Term"/>
      <sheetName val="Long-Term"/>
      <sheetName val="TPE"/>
      <sheetName val="Fed PTE"/>
      <sheetName val="Named Variables"/>
      <sheetName val="Module1"/>
      <sheetName val="Sheet1"/>
      <sheetName val="Revised HAP EmFac"/>
      <sheetName val="Revised HAP Emissions"/>
      <sheetName val="Revised HAP SS"/>
    </sheetNames>
    <sheetDataSet>
      <sheetData sheetId="10">
        <row r="9">
          <cell r="E9">
            <v>0.00011560572000000001</v>
          </cell>
          <cell r="F9">
            <v>0.00014680091428571427</v>
          </cell>
          <cell r="G9">
            <v>0.0006716141828571429</v>
          </cell>
          <cell r="H9">
            <v>0.0004991231085714286</v>
          </cell>
          <cell r="I9" t="str">
            <v>--</v>
          </cell>
          <cell r="J9">
            <v>0.0003119519428571429</v>
          </cell>
          <cell r="K9">
            <v>5.505034285714287E-05</v>
          </cell>
          <cell r="L9">
            <v>7.890549142857144E-05</v>
          </cell>
          <cell r="M9">
            <v>4.9545308571428575E-05</v>
          </cell>
          <cell r="N9" t="str">
            <v>--</v>
          </cell>
          <cell r="O9" t="str">
            <v>--</v>
          </cell>
          <cell r="P9">
            <v>0.0001743260857142857</v>
          </cell>
          <cell r="Q9" t="str">
            <v>--</v>
          </cell>
          <cell r="R9">
            <v>3.6700228571428574E-06</v>
          </cell>
          <cell r="S9">
            <v>2.2020137142857143E-07</v>
          </cell>
          <cell r="T9">
            <v>2.0185125714285716E-05</v>
          </cell>
          <cell r="U9">
            <v>2.5690160000000004E-05</v>
          </cell>
          <cell r="V9">
            <v>1.5414096000000003E-06</v>
          </cell>
          <cell r="W9" t="str">
            <v>--</v>
          </cell>
          <cell r="X9">
            <v>6.973043428571428E-06</v>
          </cell>
          <cell r="Y9">
            <v>4.771029714285715E-06</v>
          </cell>
          <cell r="Z9">
            <v>3.8535240000000006E-05</v>
          </cell>
          <cell r="AA9">
            <v>4.4040274285714286E-07</v>
          </cell>
        </row>
        <row r="10">
          <cell r="E10">
            <v>6.475391999999999E-05</v>
          </cell>
          <cell r="F10">
            <v>8.22272E-05</v>
          </cell>
          <cell r="G10">
            <v>0.00037618944</v>
          </cell>
          <cell r="H10">
            <v>0.00027957248</v>
          </cell>
          <cell r="I10" t="str">
            <v>--</v>
          </cell>
          <cell r="J10">
            <v>0.0001747328</v>
          </cell>
          <cell r="K10">
            <v>3.08352E-05</v>
          </cell>
          <cell r="L10">
            <v>4.419712E-05</v>
          </cell>
          <cell r="M10">
            <v>2.775168E-05</v>
          </cell>
          <cell r="N10" t="str">
            <v>--</v>
          </cell>
          <cell r="O10" t="str">
            <v>--</v>
          </cell>
          <cell r="P10">
            <v>9.764479999999999E-05</v>
          </cell>
          <cell r="Q10" t="str">
            <v>--</v>
          </cell>
          <cell r="R10">
            <v>2.0556800000000004E-06</v>
          </cell>
          <cell r="S10">
            <v>1.233408E-07</v>
          </cell>
          <cell r="T10">
            <v>1.130624E-05</v>
          </cell>
          <cell r="U10">
            <v>1.4389760000000001E-05</v>
          </cell>
          <cell r="V10">
            <v>8.633856000000001E-07</v>
          </cell>
          <cell r="W10" t="str">
            <v>--</v>
          </cell>
          <cell r="X10">
            <v>3.905792E-06</v>
          </cell>
          <cell r="Y10">
            <v>2.6723840000000004E-06</v>
          </cell>
          <cell r="Z10">
            <v>2.1584640000000006E-05</v>
          </cell>
          <cell r="AA10">
            <v>2.466816E-07</v>
          </cell>
        </row>
        <row r="11">
          <cell r="E11">
            <v>0.00011560572000000001</v>
          </cell>
          <cell r="F11">
            <v>0.00014680091428571427</v>
          </cell>
          <cell r="G11">
            <v>0.0006716141828571429</v>
          </cell>
          <cell r="H11">
            <v>0.0004991231085714286</v>
          </cell>
          <cell r="I11" t="str">
            <v>--</v>
          </cell>
          <cell r="J11">
            <v>0.0003119519428571429</v>
          </cell>
          <cell r="K11">
            <v>5.505034285714287E-05</v>
          </cell>
          <cell r="L11">
            <v>7.890549142857144E-05</v>
          </cell>
          <cell r="M11">
            <v>4.9545308571428575E-05</v>
          </cell>
          <cell r="N11" t="str">
            <v>--</v>
          </cell>
          <cell r="O11" t="str">
            <v>--</v>
          </cell>
          <cell r="P11">
            <v>0.0001743260857142857</v>
          </cell>
          <cell r="Q11" t="str">
            <v>--</v>
          </cell>
          <cell r="R11">
            <v>3.6700228571428574E-06</v>
          </cell>
          <cell r="S11">
            <v>2.2020137142857143E-07</v>
          </cell>
          <cell r="T11">
            <v>2.0185125714285716E-05</v>
          </cell>
          <cell r="U11">
            <v>2.5690160000000004E-05</v>
          </cell>
          <cell r="V11">
            <v>1.5414096000000003E-06</v>
          </cell>
          <cell r="W11" t="str">
            <v>--</v>
          </cell>
          <cell r="X11">
            <v>6.973043428571428E-06</v>
          </cell>
          <cell r="Y11">
            <v>4.771029714285715E-06</v>
          </cell>
          <cell r="Z11">
            <v>3.8535240000000006E-05</v>
          </cell>
          <cell r="AA11">
            <v>4.4040274285714286E-07</v>
          </cell>
        </row>
        <row r="12">
          <cell r="E12">
            <v>0.00013557142857142856</v>
          </cell>
          <cell r="F12">
            <v>0.0006048571428571428</v>
          </cell>
          <cell r="G12">
            <v>0.002763571428571428</v>
          </cell>
          <cell r="H12">
            <v>0.002054428571428571</v>
          </cell>
          <cell r="I12" t="str">
            <v>--</v>
          </cell>
          <cell r="J12">
            <v>0.001282714285714286</v>
          </cell>
          <cell r="K12">
            <v>0.0003128571428571429</v>
          </cell>
          <cell r="L12">
            <v>0.00032328571428571427</v>
          </cell>
          <cell r="M12">
            <v>0.0002815714285714286</v>
          </cell>
          <cell r="N12" t="str">
            <v>--</v>
          </cell>
          <cell r="O12" t="str">
            <v>--</v>
          </cell>
          <cell r="P12">
            <v>0.00020857142857142857</v>
          </cell>
          <cell r="Q12" t="str">
            <v>--</v>
          </cell>
          <cell r="R12">
            <v>2.085714285714286E-05</v>
          </cell>
          <cell r="S12">
            <v>1.2514285714285715E-06</v>
          </cell>
          <cell r="T12">
            <v>0.00011471428571428574</v>
          </cell>
          <cell r="U12">
            <v>0.00014600000000000003</v>
          </cell>
          <cell r="V12">
            <v>8.760000000000003E-06</v>
          </cell>
          <cell r="W12" t="str">
            <v>--</v>
          </cell>
          <cell r="X12">
            <v>3.962857142857142E-05</v>
          </cell>
          <cell r="Y12">
            <v>2.7114285714285718E-05</v>
          </cell>
          <cell r="Z12">
            <v>0.00021900000000000004</v>
          </cell>
          <cell r="AA12">
            <v>2.502857142857143E-06</v>
          </cell>
        </row>
        <row r="15">
          <cell r="E15">
            <v>0</v>
          </cell>
          <cell r="F15">
            <v>0</v>
          </cell>
          <cell r="G15">
            <v>0</v>
          </cell>
          <cell r="H15">
            <v>0</v>
          </cell>
          <cell r="I15" t="str">
            <v>--</v>
          </cell>
          <cell r="J15">
            <v>0</v>
          </cell>
          <cell r="K15">
            <v>0</v>
          </cell>
          <cell r="L15">
            <v>0</v>
          </cell>
          <cell r="M15">
            <v>0</v>
          </cell>
          <cell r="N15" t="str">
            <v>--</v>
          </cell>
          <cell r="O15" t="str">
            <v>--</v>
          </cell>
          <cell r="P15">
            <v>0</v>
          </cell>
          <cell r="Q15" t="str">
            <v>--</v>
          </cell>
          <cell r="R15">
            <v>0</v>
          </cell>
          <cell r="S15">
            <v>0</v>
          </cell>
          <cell r="T15">
            <v>0</v>
          </cell>
          <cell r="U15">
            <v>0</v>
          </cell>
          <cell r="V15">
            <v>0</v>
          </cell>
          <cell r="W15" t="str">
            <v>--</v>
          </cell>
          <cell r="X15">
            <v>0</v>
          </cell>
          <cell r="Y15">
            <v>0</v>
          </cell>
          <cell r="Z15">
            <v>0</v>
          </cell>
          <cell r="AA15">
            <v>0</v>
          </cell>
        </row>
        <row r="16">
          <cell r="E16">
            <v>0.0027894630476190483</v>
          </cell>
          <cell r="F16">
            <v>0.015293952571428572</v>
          </cell>
          <cell r="G16">
            <v>0.005578926095238097</v>
          </cell>
          <cell r="H16">
            <v>0.0027894630476190483</v>
          </cell>
          <cell r="I16" t="str">
            <v>--</v>
          </cell>
          <cell r="J16">
            <v>0.11244421733333336</v>
          </cell>
          <cell r="K16">
            <v>0.0010580721904761906</v>
          </cell>
          <cell r="L16">
            <v>0.004136100380952382</v>
          </cell>
          <cell r="M16">
            <v>0.0009618838095238097</v>
          </cell>
          <cell r="N16" t="str">
            <v>--</v>
          </cell>
          <cell r="O16" t="str">
            <v>--</v>
          </cell>
          <cell r="P16">
            <v>0.1388960220952381</v>
          </cell>
          <cell r="Q16" t="str">
            <v>--</v>
          </cell>
          <cell r="R16">
            <v>1.9237676190476193E-05</v>
          </cell>
          <cell r="S16">
            <v>1.1542605714285715E-06</v>
          </cell>
          <cell r="T16">
            <v>0.00010580721904761907</v>
          </cell>
          <cell r="U16">
            <v>0.00013466373333333336</v>
          </cell>
          <cell r="V16">
            <v>8.079824000000002E-06</v>
          </cell>
          <cell r="W16" t="str">
            <v>--</v>
          </cell>
          <cell r="X16">
            <v>3.655158476190477E-05</v>
          </cell>
          <cell r="Y16">
            <v>2.500897904761905E-05</v>
          </cell>
          <cell r="Z16">
            <v>0.00020199560000000005</v>
          </cell>
          <cell r="AA16">
            <v>2.308521142857143E-06</v>
          </cell>
        </row>
        <row r="17">
          <cell r="E17">
            <v>0</v>
          </cell>
          <cell r="F17">
            <v>0</v>
          </cell>
          <cell r="G17">
            <v>0</v>
          </cell>
          <cell r="H17">
            <v>0</v>
          </cell>
          <cell r="I17" t="str">
            <v>--</v>
          </cell>
          <cell r="J17">
            <v>0</v>
          </cell>
          <cell r="K17">
            <v>0</v>
          </cell>
          <cell r="L17">
            <v>0</v>
          </cell>
          <cell r="M17">
            <v>0</v>
          </cell>
          <cell r="N17" t="str">
            <v>--</v>
          </cell>
          <cell r="O17" t="str">
            <v>--</v>
          </cell>
          <cell r="P17">
            <v>0</v>
          </cell>
          <cell r="Q17" t="str">
            <v>--</v>
          </cell>
          <cell r="R17">
            <v>0</v>
          </cell>
          <cell r="S17">
            <v>0</v>
          </cell>
          <cell r="T17">
            <v>0</v>
          </cell>
          <cell r="U17">
            <v>0</v>
          </cell>
          <cell r="V17">
            <v>0</v>
          </cell>
          <cell r="W17" t="str">
            <v>--</v>
          </cell>
          <cell r="X17">
            <v>0</v>
          </cell>
          <cell r="Y17">
            <v>0</v>
          </cell>
          <cell r="Z17">
            <v>0</v>
          </cell>
          <cell r="AA17">
            <v>0</v>
          </cell>
        </row>
        <row r="19">
          <cell r="E19">
            <v>4.113028571428572E-05</v>
          </cell>
          <cell r="F19">
            <v>0.00022550742857142857</v>
          </cell>
          <cell r="G19">
            <v>8.226057142857144E-05</v>
          </cell>
          <cell r="H19">
            <v>4.113028571428572E-05</v>
          </cell>
          <cell r="I19" t="str">
            <v>--</v>
          </cell>
          <cell r="J19">
            <v>0.0016579760000000002</v>
          </cell>
          <cell r="K19">
            <v>1.560114285714286E-05</v>
          </cell>
          <cell r="L19">
            <v>6.098628571428572E-05</v>
          </cell>
          <cell r="M19">
            <v>1.4182857142857145E-05</v>
          </cell>
          <cell r="N19" t="str">
            <v>--</v>
          </cell>
          <cell r="O19" t="str">
            <v>--</v>
          </cell>
          <cell r="P19">
            <v>0.0020480045714285715</v>
          </cell>
          <cell r="Q19" t="str">
            <v>--</v>
          </cell>
          <cell r="R19">
            <v>2.8365714285714286E-07</v>
          </cell>
          <cell r="S19">
            <v>1.7019428571428572E-08</v>
          </cell>
          <cell r="T19">
            <v>1.560114285714286E-06</v>
          </cell>
          <cell r="U19">
            <v>1.9856E-06</v>
          </cell>
          <cell r="V19">
            <v>1.1913600000000003E-07</v>
          </cell>
          <cell r="W19" t="str">
            <v>--</v>
          </cell>
          <cell r="X19">
            <v>5.389485714285715E-07</v>
          </cell>
          <cell r="Y19">
            <v>3.687542857142858E-07</v>
          </cell>
          <cell r="Z19">
            <v>2.978400000000001E-06</v>
          </cell>
          <cell r="AA19">
            <v>3.4038857142857144E-08</v>
          </cell>
        </row>
        <row r="20">
          <cell r="E20">
            <v>0.0023909683265306127</v>
          </cell>
          <cell r="F20">
            <v>0.013109102204081633</v>
          </cell>
          <cell r="G20">
            <v>0.004781936653061225</v>
          </cell>
          <cell r="H20">
            <v>0.0023909683265306127</v>
          </cell>
          <cell r="I20" t="str">
            <v>--</v>
          </cell>
          <cell r="J20">
            <v>0.09638075771428573</v>
          </cell>
          <cell r="K20">
            <v>0.0009069190204081633</v>
          </cell>
          <cell r="L20">
            <v>0.0035452288979591837</v>
          </cell>
          <cell r="M20">
            <v>0.000824471836734694</v>
          </cell>
          <cell r="N20" t="str">
            <v>--</v>
          </cell>
          <cell r="O20" t="str">
            <v>--</v>
          </cell>
          <cell r="P20">
            <v>0.11905373322448978</v>
          </cell>
          <cell r="Q20" t="str">
            <v>--</v>
          </cell>
          <cell r="R20">
            <v>1.6489436734693878E-05</v>
          </cell>
          <cell r="S20">
            <v>9.893662040816326E-07</v>
          </cell>
          <cell r="T20">
            <v>9.069190204081634E-05</v>
          </cell>
          <cell r="U20">
            <v>0.00011542605714285717</v>
          </cell>
          <cell r="V20">
            <v>6.92556342857143E-06</v>
          </cell>
          <cell r="W20" t="str">
            <v>--</v>
          </cell>
          <cell r="X20">
            <v>3.1329929795918364E-05</v>
          </cell>
          <cell r="Y20">
            <v>2.1436267755102046E-05</v>
          </cell>
          <cell r="Z20">
            <v>0.00017313908571428574</v>
          </cell>
          <cell r="AA20">
            <v>1.9787324081632652E-06</v>
          </cell>
        </row>
        <row r="21">
          <cell r="E21">
            <v>0</v>
          </cell>
          <cell r="F21">
            <v>0</v>
          </cell>
          <cell r="G21">
            <v>0</v>
          </cell>
          <cell r="H21">
            <v>0</v>
          </cell>
          <cell r="I21" t="str">
            <v>--</v>
          </cell>
          <cell r="J21">
            <v>0</v>
          </cell>
          <cell r="K21">
            <v>0</v>
          </cell>
          <cell r="L21">
            <v>0</v>
          </cell>
          <cell r="M21">
            <v>0</v>
          </cell>
          <cell r="N21" t="str">
            <v>--</v>
          </cell>
          <cell r="O21" t="str">
            <v>--</v>
          </cell>
          <cell r="P21">
            <v>0</v>
          </cell>
          <cell r="Q21" t="str">
            <v>--</v>
          </cell>
          <cell r="R21">
            <v>0</v>
          </cell>
          <cell r="S21">
            <v>0</v>
          </cell>
          <cell r="T21">
            <v>0</v>
          </cell>
          <cell r="U21">
            <v>0</v>
          </cell>
          <cell r="V21">
            <v>0</v>
          </cell>
          <cell r="W21" t="str">
            <v>--</v>
          </cell>
          <cell r="X21">
            <v>0</v>
          </cell>
          <cell r="Y21">
            <v>0</v>
          </cell>
          <cell r="Z21">
            <v>0</v>
          </cell>
          <cell r="AA21">
            <v>0</v>
          </cell>
        </row>
        <row r="23">
          <cell r="E23">
            <v>0.0001209714285714286</v>
          </cell>
          <cell r="F23">
            <v>0.0006632571428571429</v>
          </cell>
          <cell r="G23">
            <v>0.0002419428571428572</v>
          </cell>
          <cell r="H23">
            <v>0.0001209714285714286</v>
          </cell>
          <cell r="I23" t="str">
            <v>--</v>
          </cell>
          <cell r="J23">
            <v>0.0048764</v>
          </cell>
          <cell r="K23">
            <v>4.588571428571428E-05</v>
          </cell>
          <cell r="L23">
            <v>0.00017937142857142856</v>
          </cell>
          <cell r="M23">
            <v>4.171428571428572E-05</v>
          </cell>
          <cell r="N23" t="str">
            <v>--</v>
          </cell>
          <cell r="O23" t="str">
            <v>--</v>
          </cell>
          <cell r="P23">
            <v>0.006023542857142857</v>
          </cell>
          <cell r="Q23" t="str">
            <v>--</v>
          </cell>
          <cell r="R23">
            <v>8.342857142857142E-07</v>
          </cell>
          <cell r="S23">
            <v>5.0057142857142856E-08</v>
          </cell>
          <cell r="T23">
            <v>4.5885714285714284E-06</v>
          </cell>
          <cell r="U23">
            <v>5.840000000000001E-06</v>
          </cell>
          <cell r="V23">
            <v>3.5040000000000007E-07</v>
          </cell>
          <cell r="W23" t="str">
            <v>--</v>
          </cell>
          <cell r="X23">
            <v>1.585142857142857E-06</v>
          </cell>
          <cell r="Y23">
            <v>1.0845714285714286E-06</v>
          </cell>
          <cell r="Z23">
            <v>8.760000000000003E-06</v>
          </cell>
          <cell r="AA23">
            <v>1.0011428571428571E-07</v>
          </cell>
        </row>
        <row r="24">
          <cell r="E24">
            <v>0.0007571399700680273</v>
          </cell>
          <cell r="F24">
            <v>0.004151215697959184</v>
          </cell>
          <cell r="G24">
            <v>0.0015142799401360546</v>
          </cell>
          <cell r="H24">
            <v>0.0007571399700680273</v>
          </cell>
          <cell r="I24" t="str">
            <v>--</v>
          </cell>
          <cell r="J24">
            <v>0.03052057327619048</v>
          </cell>
          <cell r="K24">
            <v>0.0002871910231292517</v>
          </cell>
          <cell r="L24">
            <v>0.001122655817687075</v>
          </cell>
          <cell r="M24">
            <v>0.00026108274829931974</v>
          </cell>
          <cell r="N24" t="str">
            <v>--</v>
          </cell>
          <cell r="O24" t="str">
            <v>--</v>
          </cell>
          <cell r="P24">
            <v>0.03770034885442177</v>
          </cell>
          <cell r="Q24" t="str">
            <v>--</v>
          </cell>
          <cell r="R24">
            <v>5.221654965986395E-06</v>
          </cell>
          <cell r="S24">
            <v>3.132992979591837E-07</v>
          </cell>
          <cell r="T24">
            <v>2.871910231292518E-05</v>
          </cell>
          <cell r="U24">
            <v>3.655158476190477E-05</v>
          </cell>
          <cell r="V24">
            <v>2.1930950857142864E-06</v>
          </cell>
          <cell r="W24" t="str">
            <v>--</v>
          </cell>
          <cell r="X24">
            <v>9.92114443537415E-06</v>
          </cell>
          <cell r="Y24">
            <v>6.788151455782315E-06</v>
          </cell>
          <cell r="Z24">
            <v>5.482737714285716E-05</v>
          </cell>
          <cell r="AA24">
            <v>6.265985959183674E-07</v>
          </cell>
        </row>
        <row r="25">
          <cell r="E25">
            <v>0</v>
          </cell>
          <cell r="F25">
            <v>0</v>
          </cell>
          <cell r="G25">
            <v>0</v>
          </cell>
          <cell r="H25">
            <v>0</v>
          </cell>
          <cell r="I25" t="str">
            <v>--</v>
          </cell>
          <cell r="J25">
            <v>0</v>
          </cell>
          <cell r="K25">
            <v>0</v>
          </cell>
          <cell r="L25">
            <v>0</v>
          </cell>
          <cell r="M25">
            <v>0</v>
          </cell>
          <cell r="N25" t="str">
            <v>--</v>
          </cell>
          <cell r="O25" t="str">
            <v>--</v>
          </cell>
          <cell r="P25">
            <v>0</v>
          </cell>
          <cell r="Q25" t="str">
            <v>--</v>
          </cell>
          <cell r="R25">
            <v>0</v>
          </cell>
          <cell r="S25">
            <v>0</v>
          </cell>
          <cell r="T25">
            <v>0</v>
          </cell>
          <cell r="U25">
            <v>0</v>
          </cell>
          <cell r="V25">
            <v>0</v>
          </cell>
          <cell r="W25" t="str">
            <v>--</v>
          </cell>
          <cell r="X25">
            <v>0</v>
          </cell>
          <cell r="Y25">
            <v>0</v>
          </cell>
          <cell r="Z25">
            <v>0</v>
          </cell>
          <cell r="AA25">
            <v>0</v>
          </cell>
        </row>
        <row r="27">
          <cell r="E27">
            <v>7.795502189781022E-06</v>
          </cell>
          <cell r="F27">
            <v>5.3988924087591236E-05</v>
          </cell>
          <cell r="G27">
            <v>3.054445839416058E-05</v>
          </cell>
          <cell r="H27">
            <v>1.2287334306569343E-05</v>
          </cell>
          <cell r="I27" t="str">
            <v>--</v>
          </cell>
          <cell r="J27">
            <v>0.0005002162204379561</v>
          </cell>
          <cell r="K27">
            <v>5.708973722627736E-06</v>
          </cell>
          <cell r="L27">
            <v>0.0002269969094890511</v>
          </cell>
          <cell r="M27">
            <v>9.824071532846711E-06</v>
          </cell>
          <cell r="N27">
            <v>6.300156788321168E-05</v>
          </cell>
          <cell r="O27">
            <v>5.795912408759124E-08</v>
          </cell>
          <cell r="P27">
            <v>3.1587722627737228E-06</v>
          </cell>
          <cell r="Q27">
            <v>5.3988924087591236E-05</v>
          </cell>
          <cell r="R27">
            <v>4.6367299270072995E-07</v>
          </cell>
          <cell r="S27" t="str">
            <v>--</v>
          </cell>
          <cell r="T27">
            <v>4.346934306569344E-07</v>
          </cell>
          <cell r="U27">
            <v>1.7387737226277372E-07</v>
          </cell>
          <cell r="V27" t="str">
            <v>--</v>
          </cell>
          <cell r="W27">
            <v>2.4053036496350364E-06</v>
          </cell>
          <cell r="X27">
            <v>8.983664233576643E-07</v>
          </cell>
          <cell r="Y27">
            <v>5.795912408759123E-07</v>
          </cell>
          <cell r="Z27">
            <v>1.1302029197080292E-06</v>
          </cell>
          <cell r="AA27">
            <v>6.375503649635039E-07</v>
          </cell>
        </row>
        <row r="29">
          <cell r="E29">
            <v>0.06319774011299434</v>
          </cell>
          <cell r="F29">
            <v>0.03227118644067797</v>
          </cell>
          <cell r="G29">
            <v>0.018824858757062145</v>
          </cell>
          <cell r="H29" t="str">
            <v>--</v>
          </cell>
          <cell r="I29">
            <v>0.005378531073446328</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row>
        <row r="30">
          <cell r="E30">
            <v>0.06319774011299434</v>
          </cell>
          <cell r="F30">
            <v>0.03227118644067797</v>
          </cell>
          <cell r="G30">
            <v>0.018824858757062145</v>
          </cell>
          <cell r="H30" t="str">
            <v>--</v>
          </cell>
          <cell r="I30">
            <v>0.005378531073446328</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row>
        <row r="31">
          <cell r="E31">
            <v>0.021774011299435025</v>
          </cell>
          <cell r="F31">
            <v>0.011118644067796609</v>
          </cell>
          <cell r="G31">
            <v>0.006485875706214689</v>
          </cell>
          <cell r="H31" t="str">
            <v>--</v>
          </cell>
          <cell r="I31">
            <v>0.0018531073446327684</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row>
        <row r="32">
          <cell r="E32">
            <v>0.14816949152542372</v>
          </cell>
          <cell r="F32">
            <v>0.07566101694915255</v>
          </cell>
          <cell r="G32">
            <v>0.044135593220338984</v>
          </cell>
          <cell r="H32" t="str">
            <v>--</v>
          </cell>
          <cell r="I32">
            <v>0.012610169491525424</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row>
        <row r="34">
          <cell r="E34">
            <v>0.012306406196506248</v>
          </cell>
          <cell r="F34">
            <v>0.0001243071332980429</v>
          </cell>
          <cell r="G34" t="str">
            <v>--</v>
          </cell>
          <cell r="H34" t="str">
            <v>--</v>
          </cell>
          <cell r="I34">
            <v>0.010814720596929731</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row>
        <row r="35">
          <cell r="E35">
            <v>0.001538300774563281</v>
          </cell>
          <cell r="F35">
            <v>1.553839166225536E-05</v>
          </cell>
          <cell r="G35" t="str">
            <v>--</v>
          </cell>
          <cell r="H35" t="str">
            <v>--</v>
          </cell>
          <cell r="I35">
            <v>0.0013518400746162164</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row>
        <row r="36">
          <cell r="E36">
            <v>0.00041698938853340357</v>
          </cell>
          <cell r="F36">
            <v>4.212014025589935E-06</v>
          </cell>
          <cell r="G36" t="str">
            <v>--</v>
          </cell>
          <cell r="H36" t="str">
            <v>--</v>
          </cell>
          <cell r="I36">
            <v>0.00036644522022632434</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row>
        <row r="37">
          <cell r="E37">
            <v>0.00036139080339561637</v>
          </cell>
          <cell r="F37">
            <v>3.6504121555112767E-06</v>
          </cell>
          <cell r="G37" t="str">
            <v>--</v>
          </cell>
          <cell r="H37" t="str">
            <v>--</v>
          </cell>
          <cell r="I37">
            <v>0.0003175858575294811</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row>
        <row r="38">
          <cell r="E38">
            <v>0.010519739999999998</v>
          </cell>
          <cell r="F38">
            <v>0.00010625999999999999</v>
          </cell>
          <cell r="G38" t="str">
            <v>--</v>
          </cell>
          <cell r="H38" t="str">
            <v>--</v>
          </cell>
          <cell r="I38">
            <v>0.009244619999999997</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row>
        <row r="39">
          <cell r="E39">
            <v>0.005931585</v>
          </cell>
          <cell r="F39">
            <v>5.9915E-05</v>
          </cell>
          <cell r="G39" t="str">
            <v>--</v>
          </cell>
          <cell r="H39" t="str">
            <v>--</v>
          </cell>
          <cell r="I39">
            <v>0.0052126049999999995</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row>
        <row r="41">
          <cell r="E41">
            <v>0.00028777900990099034</v>
          </cell>
          <cell r="F41">
            <v>0.00014388950495049517</v>
          </cell>
          <cell r="G41">
            <v>8.99309405940595E-05</v>
          </cell>
          <cell r="H41" t="str">
            <v>--</v>
          </cell>
          <cell r="I41">
            <v>2.6979282178217845E-05</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row>
        <row r="42">
          <cell r="E42">
            <v>0.006130785742574263</v>
          </cell>
          <cell r="F42">
            <v>0.0030653928712871315</v>
          </cell>
          <cell r="G42">
            <v>0.0019158705445544574</v>
          </cell>
          <cell r="H42" t="str">
            <v>--</v>
          </cell>
          <cell r="I42">
            <v>0.0005747611633663371</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row>
        <row r="43">
          <cell r="E43">
            <v>0.006674946534653465</v>
          </cell>
          <cell r="F43">
            <v>0.0033374732673267325</v>
          </cell>
          <cell r="G43">
            <v>0.002085920792079208</v>
          </cell>
          <cell r="H43" t="str">
            <v>--</v>
          </cell>
          <cell r="I43">
            <v>0.0006257762376237623</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row>
        <row r="45">
          <cell r="E45">
            <v>0.012745762711864405</v>
          </cell>
          <cell r="F45">
            <v>0.006508474576271186</v>
          </cell>
          <cell r="G45">
            <v>0.003796610169491525</v>
          </cell>
          <cell r="H45" t="str">
            <v>--</v>
          </cell>
          <cell r="I45">
            <v>0.0010847457627118644</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row>
        <row r="46">
          <cell r="E46">
            <v>0.0026955248813559317</v>
          </cell>
          <cell r="F46">
            <v>0.0013764382372881353</v>
          </cell>
          <cell r="G46">
            <v>0.0008029223050847456</v>
          </cell>
          <cell r="H46" t="str">
            <v>--</v>
          </cell>
          <cell r="I46">
            <v>0.00022940637288135592</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row>
        <row r="49">
          <cell r="E49">
            <v>13.526067653999998</v>
          </cell>
          <cell r="F49">
            <v>0.13662694599999997</v>
          </cell>
          <cell r="G49" t="str">
            <v>--</v>
          </cell>
          <cell r="H49" t="str">
            <v>--</v>
          </cell>
          <cell r="I49">
            <v>11.886544301999997</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row>
        <row r="50">
          <cell r="E50">
            <v>0.015292331999999999</v>
          </cell>
          <cell r="F50">
            <v>0.00015446799999999997</v>
          </cell>
          <cell r="G50" t="str">
            <v>--</v>
          </cell>
          <cell r="H50" t="str">
            <v>--</v>
          </cell>
          <cell r="I50">
            <v>0.013438715999999996</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row>
        <row r="51">
          <cell r="E51">
            <v>0.11469249000000002</v>
          </cell>
          <cell r="F51">
            <v>0.00115851</v>
          </cell>
          <cell r="G51" t="str">
            <v>--</v>
          </cell>
          <cell r="H51" t="str">
            <v>--</v>
          </cell>
          <cell r="I51">
            <v>0.10079037</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row>
        <row r="52">
          <cell r="E52">
            <v>4.090221828</v>
          </cell>
          <cell r="F52">
            <v>0.041315371999999996</v>
          </cell>
          <cell r="G52" t="str">
            <v>--</v>
          </cell>
          <cell r="H52" t="str">
            <v>--</v>
          </cell>
          <cell r="I52">
            <v>3.5944373639999996</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row>
        <row r="53">
          <cell r="E53">
            <v>0.487699641</v>
          </cell>
          <cell r="F53">
            <v>0.0049262590000000005</v>
          </cell>
          <cell r="G53" t="str">
            <v>--</v>
          </cell>
          <cell r="H53" t="str">
            <v>--</v>
          </cell>
          <cell r="I53">
            <v>0.428584533</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row>
        <row r="54">
          <cell r="E54">
            <v>0.08173736999999999</v>
          </cell>
          <cell r="F54">
            <v>0.0008256299999999999</v>
          </cell>
          <cell r="G54" t="str">
            <v>--</v>
          </cell>
          <cell r="H54" t="str">
            <v>--</v>
          </cell>
          <cell r="I54">
            <v>0.07182980999999998</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row>
        <row r="55">
          <cell r="E55">
            <v>0.78008238</v>
          </cell>
          <cell r="F55">
            <v>0.00787962</v>
          </cell>
          <cell r="G55" t="str">
            <v>--</v>
          </cell>
          <cell r="H55" t="str">
            <v>--</v>
          </cell>
          <cell r="I55">
            <v>0.6855269399999998</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row>
        <row r="56">
          <cell r="E56">
            <v>2.659817852999999</v>
          </cell>
          <cell r="F56">
            <v>0.02686684699999999</v>
          </cell>
          <cell r="G56" t="str">
            <v>--</v>
          </cell>
          <cell r="H56" t="str">
            <v>--</v>
          </cell>
          <cell r="I56">
            <v>2.337415688999999</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row>
        <row r="57">
          <cell r="E57">
            <v>0.07188696899999998</v>
          </cell>
          <cell r="F57">
            <v>0.0007261309999999999</v>
          </cell>
          <cell r="G57" t="str">
            <v>--</v>
          </cell>
          <cell r="H57" t="str">
            <v>--</v>
          </cell>
          <cell r="I57">
            <v>0.06317339699999998</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row>
        <row r="58">
          <cell r="E58">
            <v>0</v>
          </cell>
          <cell r="F58">
            <v>0</v>
          </cell>
          <cell r="G58" t="str">
            <v>--</v>
          </cell>
          <cell r="H58" t="str">
            <v>--</v>
          </cell>
          <cell r="I58">
            <v>0</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row>
        <row r="59">
          <cell r="E59">
            <v>0.11924549999999996</v>
          </cell>
          <cell r="F59">
            <v>0.0012044999999999996</v>
          </cell>
          <cell r="G59" t="str">
            <v>--</v>
          </cell>
          <cell r="H59" t="str">
            <v>--</v>
          </cell>
          <cell r="I59">
            <v>0.10479149999999995</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row>
        <row r="61">
          <cell r="E61">
            <v>1.0067145956999997</v>
          </cell>
          <cell r="F61">
            <v>0.010168834299999999</v>
          </cell>
          <cell r="G61" t="str">
            <v>--</v>
          </cell>
          <cell r="H61" t="str">
            <v>--</v>
          </cell>
          <cell r="I61">
            <v>0.8846885840999997</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row>
        <row r="62">
          <cell r="E62">
            <v>0.06815162177999999</v>
          </cell>
          <cell r="F62">
            <v>0.0006884002199999999</v>
          </cell>
          <cell r="G62" t="str">
            <v>--</v>
          </cell>
          <cell r="H62" t="str">
            <v>--</v>
          </cell>
          <cell r="I62">
            <v>0.05989081913999999</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row>
        <row r="63">
          <cell r="E63">
            <v>0.7824239279999998</v>
          </cell>
          <cell r="F63">
            <v>0.007903271999999998</v>
          </cell>
          <cell r="G63" t="str">
            <v>--</v>
          </cell>
          <cell r="H63" t="str">
            <v>--</v>
          </cell>
          <cell r="I63">
            <v>0.6875846639999997</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row>
        <row r="64">
          <cell r="E64">
            <v>0.04724636796</v>
          </cell>
          <cell r="F64">
            <v>0.00047723604</v>
          </cell>
          <cell r="G64" t="str">
            <v>--</v>
          </cell>
          <cell r="H64" t="str">
            <v>--</v>
          </cell>
          <cell r="I64">
            <v>0.04151953548</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row>
        <row r="65">
          <cell r="E65">
            <v>0</v>
          </cell>
          <cell r="F65">
            <v>0</v>
          </cell>
          <cell r="G65" t="str">
            <v>--</v>
          </cell>
          <cell r="H65" t="str">
            <v>--</v>
          </cell>
          <cell r="I65">
            <v>0</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row>
        <row r="66">
          <cell r="E66">
            <v>0</v>
          </cell>
          <cell r="F66">
            <v>0</v>
          </cell>
          <cell r="G66" t="str">
            <v>--</v>
          </cell>
          <cell r="H66" t="str">
            <v>--</v>
          </cell>
          <cell r="I66">
            <v>0</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row>
        <row r="67">
          <cell r="E67">
            <v>0.03308520599999999</v>
          </cell>
          <cell r="F67">
            <v>0.00033419399999999995</v>
          </cell>
          <cell r="G67" t="str">
            <v>--</v>
          </cell>
          <cell r="H67" t="str">
            <v>--</v>
          </cell>
          <cell r="I67">
            <v>0.02907487799999999</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row>
        <row r="69">
          <cell r="E69" t="str">
            <v>--</v>
          </cell>
          <cell r="F69">
            <v>0.078125</v>
          </cell>
          <cell r="G69">
            <v>0.078125</v>
          </cell>
          <cell r="H69">
            <v>0.078125</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EF"/>
      <sheetName val="Emissions"/>
      <sheetName val="Total"/>
      <sheetName val="Federal PTE"/>
      <sheetName val="Exempt"/>
      <sheetName val="Exempt Calcs"/>
      <sheetName val="Variables"/>
      <sheetName val="Flare ROC Ratio"/>
      <sheetName val="Revised HAP EmFac"/>
      <sheetName val="Revised HAP Emissions"/>
      <sheetName val="Revised HAP SS"/>
      <sheetName val="Launcher calcs"/>
      <sheetName val="8234 04"/>
    </sheetNames>
    <sheetDataSet>
      <sheetData sheetId="7">
        <row r="8">
          <cell r="C8">
            <v>1100</v>
          </cell>
        </row>
        <row r="20">
          <cell r="C20">
            <v>0.6169549550239528</v>
          </cell>
        </row>
        <row r="22">
          <cell r="C22">
            <v>1</v>
          </cell>
        </row>
        <row r="24">
          <cell r="C24">
            <v>0.0549</v>
          </cell>
        </row>
      </sheetData>
      <sheetData sheetId="10">
        <row r="7">
          <cell r="F7" t="str">
            <v>Hexane</v>
          </cell>
          <cell r="G7" t="str">
            <v>Benzene</v>
          </cell>
          <cell r="H7" t="str">
            <v>Toluene</v>
          </cell>
          <cell r="I7" t="str">
            <v>Xylene</v>
          </cell>
          <cell r="J7" t="str">
            <v>Iso-Octane</v>
          </cell>
          <cell r="K7" t="str">
            <v>Formaldehyde</v>
          </cell>
          <cell r="L7" t="str">
            <v>Naphthalene</v>
          </cell>
          <cell r="M7" t="str">
            <v>Acetaldehyde</v>
          </cell>
          <cell r="N7" t="str">
            <v>Acrolein</v>
          </cell>
          <cell r="O7" t="str">
            <v>1,3-Butadiene</v>
          </cell>
          <cell r="P7" t="str">
            <v>Carbon Tetrachloride</v>
          </cell>
          <cell r="Q7" t="str">
            <v>Chlorine</v>
          </cell>
          <cell r="R7" t="str">
            <v>Chlorobenzene</v>
          </cell>
          <cell r="S7" t="str">
            <v>Chloroform</v>
          </cell>
          <cell r="T7" t="str">
            <v>Ethylbenzene</v>
          </cell>
          <cell r="U7" t="str">
            <v>Ethylene Dibromide</v>
          </cell>
          <cell r="V7" t="str">
            <v>Hydrogen Chloride</v>
          </cell>
          <cell r="W7" t="str">
            <v>Methanol</v>
          </cell>
          <cell r="X7" t="str">
            <v>Methyl Ethyl Ketone</v>
          </cell>
          <cell r="Y7" t="str">
            <v>Methyl tert butyl ether</v>
          </cell>
          <cell r="Z7" t="str">
            <v>Methylene Chloride</v>
          </cell>
          <cell r="AA7" t="str">
            <v>Styrene</v>
          </cell>
          <cell r="AB7" t="str">
            <v>Vinyl Chloride</v>
          </cell>
          <cell r="AC7" t="str">
            <v>1,1,2,2-Tetrachloroethane</v>
          </cell>
          <cell r="AD7" t="str">
            <v>1,1,2-Trichloroethane</v>
          </cell>
          <cell r="AE7" t="str">
            <v>Arsenic</v>
          </cell>
          <cell r="AF7" t="str">
            <v>Beryllium</v>
          </cell>
          <cell r="AG7" t="str">
            <v>Cadmium</v>
          </cell>
          <cell r="AH7" t="str">
            <v>Total Chromium</v>
          </cell>
          <cell r="AI7" t="str">
            <v>Cobalt</v>
          </cell>
          <cell r="AJ7" t="str">
            <v>Copper</v>
          </cell>
          <cell r="AK7" t="str">
            <v>Lead</v>
          </cell>
          <cell r="AL7" t="str">
            <v>Manganese</v>
          </cell>
          <cell r="AM7" t="str">
            <v>Mercury</v>
          </cell>
          <cell r="AN7" t="str">
            <v>Nickel</v>
          </cell>
          <cell r="AO7" t="str">
            <v>Selenium</v>
          </cell>
        </row>
        <row r="9">
          <cell r="F9">
            <v>2.5404000000000003E-05</v>
          </cell>
          <cell r="G9">
            <v>0.000139284</v>
          </cell>
          <cell r="H9">
            <v>5.0808000000000006E-05</v>
          </cell>
          <cell r="I9">
            <v>2.5404000000000003E-05</v>
          </cell>
          <cell r="J9" t="str">
            <v>--</v>
          </cell>
          <cell r="K9">
            <v>0.001024044</v>
          </cell>
          <cell r="L9">
            <v>9.635999999999999E-06</v>
          </cell>
          <cell r="M9">
            <v>3.766799999999999E-05</v>
          </cell>
          <cell r="N9">
            <v>8.76E-06</v>
          </cell>
          <cell r="O9" t="str">
            <v>--</v>
          </cell>
          <cell r="P9" t="str">
            <v>--</v>
          </cell>
          <cell r="Q9" t="str">
            <v>--</v>
          </cell>
          <cell r="R9" t="str">
            <v>--</v>
          </cell>
          <cell r="S9" t="str">
            <v>--</v>
          </cell>
          <cell r="T9">
            <v>0.0012649439999999998</v>
          </cell>
          <cell r="U9" t="str">
            <v>--</v>
          </cell>
          <cell r="V9" t="str">
            <v>--</v>
          </cell>
          <cell r="W9" t="str">
            <v>--</v>
          </cell>
          <cell r="X9" t="str">
            <v>--</v>
          </cell>
          <cell r="Y9" t="str">
            <v>--</v>
          </cell>
          <cell r="Z9" t="str">
            <v>--</v>
          </cell>
          <cell r="AA9" t="str">
            <v>--</v>
          </cell>
          <cell r="AB9" t="str">
            <v>--</v>
          </cell>
          <cell r="AC9" t="str">
            <v>--</v>
          </cell>
          <cell r="AD9" t="str">
            <v>--</v>
          </cell>
          <cell r="AE9">
            <v>1.752E-07</v>
          </cell>
          <cell r="AF9">
            <v>1.0512E-08</v>
          </cell>
          <cell r="AG9">
            <v>9.636000000000002E-07</v>
          </cell>
          <cell r="AH9">
            <v>1.2263999999999998E-06</v>
          </cell>
          <cell r="AI9">
            <v>7.3584E-08</v>
          </cell>
          <cell r="AJ9" t="str">
            <v>--</v>
          </cell>
          <cell r="AK9" t="str">
            <v>--</v>
          </cell>
          <cell r="AL9">
            <v>3.3287999999999995E-07</v>
          </cell>
          <cell r="AM9">
            <v>2.2776000000000002E-07</v>
          </cell>
          <cell r="AN9">
            <v>1.8396000000000004E-06</v>
          </cell>
          <cell r="AO9">
            <v>2.1024E-08</v>
          </cell>
        </row>
        <row r="10">
          <cell r="F10">
            <v>0.00026674200000000004</v>
          </cell>
          <cell r="G10">
            <v>0.001462482</v>
          </cell>
          <cell r="H10">
            <v>0.0005334840000000001</v>
          </cell>
          <cell r="I10">
            <v>0.00026674200000000004</v>
          </cell>
          <cell r="J10" t="str">
            <v>--</v>
          </cell>
          <cell r="K10">
            <v>0.010752461999999999</v>
          </cell>
          <cell r="L10">
            <v>0.00010117799999999999</v>
          </cell>
          <cell r="M10">
            <v>0.0003955139999999999</v>
          </cell>
          <cell r="N10">
            <v>9.198E-05</v>
          </cell>
          <cell r="O10" t="str">
            <v>--</v>
          </cell>
          <cell r="P10" t="str">
            <v>--</v>
          </cell>
          <cell r="Q10" t="str">
            <v>--</v>
          </cell>
          <cell r="R10" t="str">
            <v>--</v>
          </cell>
          <cell r="S10" t="str">
            <v>--</v>
          </cell>
          <cell r="T10">
            <v>0.013281911999999998</v>
          </cell>
          <cell r="U10" t="str">
            <v>--</v>
          </cell>
          <cell r="V10" t="str">
            <v>--</v>
          </cell>
          <cell r="W10" t="str">
            <v>--</v>
          </cell>
          <cell r="X10" t="str">
            <v>--</v>
          </cell>
          <cell r="Y10" t="str">
            <v>--</v>
          </cell>
          <cell r="Z10" t="str">
            <v>--</v>
          </cell>
          <cell r="AA10" t="str">
            <v>--</v>
          </cell>
          <cell r="AB10" t="str">
            <v>--</v>
          </cell>
          <cell r="AC10" t="str">
            <v>--</v>
          </cell>
          <cell r="AD10" t="str">
            <v>--</v>
          </cell>
          <cell r="AE10">
            <v>1.8396000000000001E-06</v>
          </cell>
          <cell r="AF10">
            <v>1.10376E-07</v>
          </cell>
          <cell r="AG10">
            <v>1.0117800000000002E-05</v>
          </cell>
          <cell r="AH10">
            <v>1.2877199999999998E-05</v>
          </cell>
          <cell r="AI10">
            <v>7.726320000000001E-07</v>
          </cell>
          <cell r="AJ10" t="str">
            <v>--</v>
          </cell>
          <cell r="AK10" t="str">
            <v>--</v>
          </cell>
          <cell r="AL10">
            <v>3.49524E-06</v>
          </cell>
          <cell r="AM10">
            <v>2.39148E-06</v>
          </cell>
          <cell r="AN10">
            <v>1.9315800000000002E-05</v>
          </cell>
          <cell r="AO10">
            <v>2.20752E-07</v>
          </cell>
        </row>
        <row r="11">
          <cell r="F11">
            <v>3.8106000000000004E-05</v>
          </cell>
          <cell r="G11">
            <v>0.000208926</v>
          </cell>
          <cell r="H11">
            <v>7.621200000000001E-05</v>
          </cell>
          <cell r="I11">
            <v>3.8106000000000004E-05</v>
          </cell>
          <cell r="J11" t="str">
            <v>--</v>
          </cell>
          <cell r="K11">
            <v>0.001536066</v>
          </cell>
          <cell r="L11">
            <v>1.4453999999999997E-05</v>
          </cell>
          <cell r="M11">
            <v>5.6501999999999995E-05</v>
          </cell>
          <cell r="N11">
            <v>1.3140000000000001E-05</v>
          </cell>
          <cell r="O11" t="str">
            <v>--</v>
          </cell>
          <cell r="P11" t="str">
            <v>--</v>
          </cell>
          <cell r="Q11" t="str">
            <v>--</v>
          </cell>
          <cell r="R11" t="str">
            <v>--</v>
          </cell>
          <cell r="S11" t="str">
            <v>--</v>
          </cell>
          <cell r="T11">
            <v>0.0018974159999999999</v>
          </cell>
          <cell r="U11" t="str">
            <v>--</v>
          </cell>
          <cell r="V11" t="str">
            <v>--</v>
          </cell>
          <cell r="W11" t="str">
            <v>--</v>
          </cell>
          <cell r="X11" t="str">
            <v>--</v>
          </cell>
          <cell r="Y11" t="str">
            <v>--</v>
          </cell>
          <cell r="Z11" t="str">
            <v>--</v>
          </cell>
          <cell r="AA11" t="str">
            <v>--</v>
          </cell>
          <cell r="AB11" t="str">
            <v>--</v>
          </cell>
          <cell r="AC11" t="str">
            <v>--</v>
          </cell>
          <cell r="AD11" t="str">
            <v>--</v>
          </cell>
          <cell r="AE11">
            <v>2.6280000000000005E-07</v>
          </cell>
          <cell r="AF11">
            <v>1.5768E-08</v>
          </cell>
          <cell r="AG11">
            <v>1.4454000000000002E-06</v>
          </cell>
          <cell r="AH11">
            <v>1.8396000000000001E-06</v>
          </cell>
          <cell r="AI11">
            <v>1.10376E-07</v>
          </cell>
          <cell r="AJ11" t="str">
            <v>--</v>
          </cell>
          <cell r="AK11" t="str">
            <v>--</v>
          </cell>
          <cell r="AL11">
            <v>4.9932E-07</v>
          </cell>
          <cell r="AM11">
            <v>3.4164000000000003E-07</v>
          </cell>
          <cell r="AN11">
            <v>2.7594E-06</v>
          </cell>
          <cell r="AO11">
            <v>3.1536E-08</v>
          </cell>
        </row>
        <row r="12">
          <cell r="F12">
            <v>0</v>
          </cell>
          <cell r="G12">
            <v>0</v>
          </cell>
          <cell r="H12">
            <v>0</v>
          </cell>
          <cell r="I12">
            <v>0</v>
          </cell>
          <cell r="J12" t="str">
            <v>--</v>
          </cell>
          <cell r="K12">
            <v>0</v>
          </cell>
          <cell r="L12">
            <v>0</v>
          </cell>
          <cell r="M12">
            <v>0</v>
          </cell>
          <cell r="N12">
            <v>0</v>
          </cell>
          <cell r="O12" t="str">
            <v>--</v>
          </cell>
          <cell r="P12" t="str">
            <v>--</v>
          </cell>
          <cell r="Q12" t="str">
            <v>--</v>
          </cell>
          <cell r="R12" t="str">
            <v>--</v>
          </cell>
          <cell r="S12" t="str">
            <v>--</v>
          </cell>
          <cell r="T12">
            <v>0</v>
          </cell>
          <cell r="U12" t="str">
            <v>--</v>
          </cell>
          <cell r="V12" t="str">
            <v>--</v>
          </cell>
          <cell r="W12" t="str">
            <v>--</v>
          </cell>
          <cell r="X12" t="str">
            <v>--</v>
          </cell>
          <cell r="Y12" t="str">
            <v>--</v>
          </cell>
          <cell r="Z12" t="str">
            <v>--</v>
          </cell>
          <cell r="AA12" t="str">
            <v>--</v>
          </cell>
          <cell r="AB12" t="str">
            <v>--</v>
          </cell>
          <cell r="AC12" t="str">
            <v>--</v>
          </cell>
          <cell r="AD12" t="str">
            <v>--</v>
          </cell>
          <cell r="AE12">
            <v>0</v>
          </cell>
          <cell r="AF12">
            <v>0</v>
          </cell>
          <cell r="AG12">
            <v>0</v>
          </cell>
          <cell r="AH12">
            <v>0</v>
          </cell>
          <cell r="AI12">
            <v>0</v>
          </cell>
          <cell r="AJ12" t="str">
            <v>--</v>
          </cell>
          <cell r="AK12" t="str">
            <v>--</v>
          </cell>
          <cell r="AL12">
            <v>0</v>
          </cell>
          <cell r="AM12">
            <v>0</v>
          </cell>
          <cell r="AN12">
            <v>0</v>
          </cell>
          <cell r="AO12">
            <v>0</v>
          </cell>
        </row>
        <row r="13">
          <cell r="F13">
            <v>2.67264E-06</v>
          </cell>
          <cell r="G13">
            <v>1.465344E-05</v>
          </cell>
          <cell r="H13">
            <v>5.34528E-06</v>
          </cell>
          <cell r="I13">
            <v>2.67264E-06</v>
          </cell>
          <cell r="J13" t="str">
            <v>--</v>
          </cell>
          <cell r="K13">
            <v>0.00010773503999999999</v>
          </cell>
          <cell r="L13">
            <v>1.01376E-06</v>
          </cell>
          <cell r="M13">
            <v>3.96288E-06</v>
          </cell>
          <cell r="N13">
            <v>9.216000000000001E-07</v>
          </cell>
          <cell r="O13" t="str">
            <v>--</v>
          </cell>
          <cell r="P13" t="str">
            <v>--</v>
          </cell>
          <cell r="Q13" t="str">
            <v>--</v>
          </cell>
          <cell r="R13" t="str">
            <v>--</v>
          </cell>
          <cell r="S13" t="str">
            <v>--</v>
          </cell>
          <cell r="T13">
            <v>0.00013307903999999998</v>
          </cell>
          <cell r="U13" t="str">
            <v>--</v>
          </cell>
          <cell r="V13" t="str">
            <v>--</v>
          </cell>
          <cell r="W13" t="str">
            <v>--</v>
          </cell>
          <cell r="X13" t="str">
            <v>--</v>
          </cell>
          <cell r="Y13" t="str">
            <v>--</v>
          </cell>
          <cell r="Z13" t="str">
            <v>--</v>
          </cell>
          <cell r="AA13" t="str">
            <v>--</v>
          </cell>
          <cell r="AB13" t="str">
            <v>--</v>
          </cell>
          <cell r="AC13" t="str">
            <v>--</v>
          </cell>
          <cell r="AD13" t="str">
            <v>--</v>
          </cell>
          <cell r="AE13">
            <v>1.8432000000000003E-08</v>
          </cell>
          <cell r="AF13">
            <v>1.10592E-09</v>
          </cell>
          <cell r="AG13">
            <v>1.0137600000000001E-07</v>
          </cell>
          <cell r="AH13">
            <v>1.2902399999999998E-07</v>
          </cell>
          <cell r="AI13">
            <v>7.74144E-09</v>
          </cell>
          <cell r="AJ13" t="str">
            <v>--</v>
          </cell>
          <cell r="AK13" t="str">
            <v>--</v>
          </cell>
          <cell r="AL13">
            <v>3.5020799999999996E-08</v>
          </cell>
          <cell r="AM13">
            <v>2.3961600000000005E-08</v>
          </cell>
          <cell r="AN13">
            <v>1.9353600000000002E-07</v>
          </cell>
          <cell r="AO13">
            <v>2.21184E-09</v>
          </cell>
        </row>
        <row r="15">
          <cell r="F15">
            <v>2.8798682E-07</v>
          </cell>
          <cell r="G15">
            <v>1.5789622200000002E-06</v>
          </cell>
          <cell r="H15">
            <v>5.7597364E-07</v>
          </cell>
          <cell r="I15">
            <v>2.8798682E-07</v>
          </cell>
          <cell r="J15" t="str">
            <v>--</v>
          </cell>
          <cell r="K15">
            <v>1.1608848019999997E-05</v>
          </cell>
          <cell r="L15">
            <v>1.0923637999999998E-07</v>
          </cell>
          <cell r="M15">
            <v>4.2701493999999993E-07</v>
          </cell>
          <cell r="N15">
            <v>9.930579999999999E-08</v>
          </cell>
          <cell r="O15" t="str">
            <v>--</v>
          </cell>
          <cell r="P15" t="str">
            <v>--</v>
          </cell>
          <cell r="Q15" t="str">
            <v>--</v>
          </cell>
          <cell r="R15" t="str">
            <v>--</v>
          </cell>
          <cell r="S15" t="str">
            <v>--</v>
          </cell>
          <cell r="T15">
            <v>1.4339757519999998E-05</v>
          </cell>
          <cell r="U15" t="str">
            <v>--</v>
          </cell>
          <cell r="V15" t="str">
            <v>--</v>
          </cell>
          <cell r="W15" t="str">
            <v>--</v>
          </cell>
          <cell r="X15" t="str">
            <v>--</v>
          </cell>
          <cell r="Y15" t="str">
            <v>--</v>
          </cell>
          <cell r="Z15" t="str">
            <v>--</v>
          </cell>
          <cell r="AA15" t="str">
            <v>--</v>
          </cell>
          <cell r="AB15" t="str">
            <v>--</v>
          </cell>
          <cell r="AC15" t="str">
            <v>--</v>
          </cell>
          <cell r="AD15" t="str">
            <v>--</v>
          </cell>
          <cell r="AE15">
            <v>1.986116E-09</v>
          </cell>
          <cell r="AF15">
            <v>1.1916696E-10</v>
          </cell>
          <cell r="AG15">
            <v>1.0923638E-08</v>
          </cell>
          <cell r="AH15">
            <v>1.3902811999999998E-08</v>
          </cell>
          <cell r="AI15">
            <v>8.3416872E-10</v>
          </cell>
          <cell r="AJ15" t="str">
            <v>--</v>
          </cell>
          <cell r="AK15" t="str">
            <v>--</v>
          </cell>
          <cell r="AL15">
            <v>3.773620399999999E-09</v>
          </cell>
          <cell r="AM15">
            <v>2.5819508000000004E-09</v>
          </cell>
          <cell r="AN15">
            <v>2.0854218E-08</v>
          </cell>
          <cell r="AO15">
            <v>2.3833392E-10</v>
          </cell>
        </row>
        <row r="17">
          <cell r="F17">
            <v>0.00013450000000000002</v>
          </cell>
          <cell r="G17">
            <v>0.0009315000000000001</v>
          </cell>
          <cell r="H17">
            <v>0.0005269999999999999</v>
          </cell>
          <cell r="I17">
            <v>0.000212</v>
          </cell>
          <cell r="J17" t="str">
            <v>--</v>
          </cell>
          <cell r="K17">
            <v>0.008630500000000001</v>
          </cell>
          <cell r="L17">
            <v>9.849999999999998E-05</v>
          </cell>
          <cell r="M17">
            <v>0.003916500000000001</v>
          </cell>
          <cell r="N17">
            <v>0.0001695</v>
          </cell>
          <cell r="O17">
            <v>0.0010869999999999999</v>
          </cell>
          <cell r="P17" t="str">
            <v>--</v>
          </cell>
          <cell r="Q17" t="str">
            <v>--</v>
          </cell>
          <cell r="R17">
            <v>1E-06</v>
          </cell>
          <cell r="S17" t="str">
            <v>--</v>
          </cell>
          <cell r="T17">
            <v>5.4499999999999997E-05</v>
          </cell>
          <cell r="U17" t="str">
            <v>--</v>
          </cell>
          <cell r="V17">
            <v>0.0009315000000000001</v>
          </cell>
          <cell r="W17" t="str">
            <v>--</v>
          </cell>
          <cell r="X17" t="str">
            <v>--</v>
          </cell>
          <cell r="Y17" t="str">
            <v>--</v>
          </cell>
          <cell r="Z17" t="str">
            <v>--</v>
          </cell>
          <cell r="AA17" t="str">
            <v>--</v>
          </cell>
          <cell r="AB17" t="str">
            <v>--</v>
          </cell>
          <cell r="AC17" t="str">
            <v>--</v>
          </cell>
          <cell r="AD17" t="str">
            <v>--</v>
          </cell>
          <cell r="AE17">
            <v>8E-06</v>
          </cell>
          <cell r="AF17" t="str">
            <v>--</v>
          </cell>
          <cell r="AG17">
            <v>7.499999999999999E-06</v>
          </cell>
          <cell r="AH17">
            <v>2.9999999999999997E-06</v>
          </cell>
          <cell r="AI17" t="str">
            <v>--</v>
          </cell>
          <cell r="AJ17" t="str">
            <v>--</v>
          </cell>
          <cell r="AK17">
            <v>4.15E-05</v>
          </cell>
          <cell r="AL17">
            <v>1.55E-05</v>
          </cell>
          <cell r="AM17">
            <v>1E-05</v>
          </cell>
          <cell r="AN17">
            <v>1.95E-05</v>
          </cell>
          <cell r="AO17">
            <v>1.1E-05</v>
          </cell>
        </row>
        <row r="18">
          <cell r="F18">
            <v>5.712617518248175E-06</v>
          </cell>
          <cell r="G18">
            <v>3.956359270072992E-05</v>
          </cell>
          <cell r="H18">
            <v>2.238326715328467E-05</v>
          </cell>
          <cell r="I18">
            <v>9.004274452554743E-06</v>
          </cell>
          <cell r="J18" t="str">
            <v>--</v>
          </cell>
          <cell r="K18">
            <v>0.0003665631635036496</v>
          </cell>
          <cell r="L18">
            <v>4.183589781021897E-06</v>
          </cell>
          <cell r="M18">
            <v>0.00016634547591240875</v>
          </cell>
          <cell r="N18">
            <v>7.199172262773722E-06</v>
          </cell>
          <cell r="O18">
            <v>4.616814306569343E-05</v>
          </cell>
          <cell r="P18" t="str">
            <v>--</v>
          </cell>
          <cell r="Q18" t="str">
            <v>--</v>
          </cell>
          <cell r="R18">
            <v>4.247299270072993E-08</v>
          </cell>
          <cell r="S18" t="str">
            <v>--</v>
          </cell>
          <cell r="T18">
            <v>2.314778102189781E-06</v>
          </cell>
          <cell r="U18" t="str">
            <v>--</v>
          </cell>
          <cell r="V18">
            <v>3.956359270072992E-05</v>
          </cell>
          <cell r="W18" t="str">
            <v>--</v>
          </cell>
          <cell r="X18" t="str">
            <v>--</v>
          </cell>
          <cell r="Y18" t="str">
            <v>--</v>
          </cell>
          <cell r="Z18" t="str">
            <v>--</v>
          </cell>
          <cell r="AA18" t="str">
            <v>--</v>
          </cell>
          <cell r="AB18" t="str">
            <v>--</v>
          </cell>
          <cell r="AC18" t="str">
            <v>--</v>
          </cell>
          <cell r="AD18" t="str">
            <v>--</v>
          </cell>
          <cell r="AE18">
            <v>3.3978394160583946E-07</v>
          </cell>
          <cell r="AF18" t="str">
            <v>--</v>
          </cell>
          <cell r="AG18">
            <v>3.1854744525547445E-07</v>
          </cell>
          <cell r="AH18">
            <v>1.2741897810218974E-07</v>
          </cell>
          <cell r="AI18" t="str">
            <v>--</v>
          </cell>
          <cell r="AJ18" t="str">
            <v>--</v>
          </cell>
          <cell r="AK18">
            <v>1.762629197080292E-06</v>
          </cell>
          <cell r="AL18">
            <v>6.583313868613138E-07</v>
          </cell>
          <cell r="AM18">
            <v>4.2472992700729927E-07</v>
          </cell>
          <cell r="AN18">
            <v>8.282233576642334E-07</v>
          </cell>
          <cell r="AO18">
            <v>4.6720291970802923E-07</v>
          </cell>
        </row>
        <row r="19">
          <cell r="F19">
            <v>0.03579901019999999</v>
          </cell>
          <cell r="G19">
            <v>0.0627274692</v>
          </cell>
          <cell r="H19">
            <v>0.031110290279999998</v>
          </cell>
          <cell r="I19">
            <v>0.00864878742</v>
          </cell>
          <cell r="J19" t="str">
            <v>--</v>
          </cell>
          <cell r="K19">
            <v>1.783614402</v>
          </cell>
          <cell r="L19">
            <v>0.00313637346</v>
          </cell>
          <cell r="M19">
            <v>0.2702350061999999</v>
          </cell>
          <cell r="N19">
            <v>0.2515434876</v>
          </cell>
          <cell r="O19">
            <v>0.026484931439999998</v>
          </cell>
          <cell r="P19">
            <v>0.001961025426</v>
          </cell>
          <cell r="Q19" t="str">
            <v>--</v>
          </cell>
          <cell r="R19" t="str">
            <v>--</v>
          </cell>
          <cell r="S19">
            <v>0.00152066592</v>
          </cell>
          <cell r="T19">
            <v>0.0034848594</v>
          </cell>
          <cell r="U19">
            <v>0.0023728724459999998</v>
          </cell>
          <cell r="V19" t="str">
            <v>--</v>
          </cell>
          <cell r="W19">
            <v>0.0988432848</v>
          </cell>
          <cell r="X19" t="str">
            <v>--</v>
          </cell>
          <cell r="Y19" t="str">
            <v>--</v>
          </cell>
          <cell r="Z19">
            <v>0.004752080999999999</v>
          </cell>
          <cell r="AA19">
            <v>0.0017709421859999999</v>
          </cell>
          <cell r="AB19">
            <v>0.000798349608</v>
          </cell>
          <cell r="AC19">
            <v>0.0021416045039999994</v>
          </cell>
          <cell r="AD19">
            <v>0.0017044130520000001</v>
          </cell>
          <cell r="AE19">
            <v>6.3361080000000004E-06</v>
          </cell>
          <cell r="AF19">
            <v>3.8016647999999993E-07</v>
          </cell>
          <cell r="AG19">
            <v>3.4848594E-05</v>
          </cell>
          <cell r="AH19">
            <v>4.4352756E-05</v>
          </cell>
          <cell r="AI19">
            <v>2.66116536E-06</v>
          </cell>
          <cell r="AJ19" t="str">
            <v>--</v>
          </cell>
          <cell r="AK19" t="str">
            <v>--</v>
          </cell>
          <cell r="AL19">
            <v>1.20386052E-05</v>
          </cell>
          <cell r="AM19">
            <v>8.2369404E-06</v>
          </cell>
          <cell r="AN19">
            <v>6.6529134E-05</v>
          </cell>
          <cell r="AO19">
            <v>7.603329599999999E-07</v>
          </cell>
        </row>
        <row r="20">
          <cell r="F20">
            <v>0.03579901019999999</v>
          </cell>
          <cell r="G20">
            <v>0.0627274692</v>
          </cell>
          <cell r="H20">
            <v>0.031110290279999998</v>
          </cell>
          <cell r="I20">
            <v>0.00864878742</v>
          </cell>
          <cell r="J20" t="str">
            <v>--</v>
          </cell>
          <cell r="K20">
            <v>1.783614402</v>
          </cell>
          <cell r="L20">
            <v>0.00313637346</v>
          </cell>
          <cell r="M20">
            <v>0.2702350061999999</v>
          </cell>
          <cell r="N20">
            <v>0.2515434876</v>
          </cell>
          <cell r="O20">
            <v>0.026484931439999998</v>
          </cell>
          <cell r="P20">
            <v>0.001961025426</v>
          </cell>
          <cell r="Q20" t="str">
            <v>--</v>
          </cell>
          <cell r="R20" t="str">
            <v>--</v>
          </cell>
          <cell r="S20">
            <v>0.00152066592</v>
          </cell>
          <cell r="T20">
            <v>0.0034848594</v>
          </cell>
          <cell r="U20">
            <v>0.0023728724459999998</v>
          </cell>
          <cell r="V20" t="str">
            <v>--</v>
          </cell>
          <cell r="W20">
            <v>0.0988432848</v>
          </cell>
          <cell r="X20" t="str">
            <v>--</v>
          </cell>
          <cell r="Y20" t="str">
            <v>--</v>
          </cell>
          <cell r="Z20">
            <v>0.004752080999999999</v>
          </cell>
          <cell r="AA20">
            <v>0.0017709421859999999</v>
          </cell>
          <cell r="AB20">
            <v>0.000798349608</v>
          </cell>
          <cell r="AC20">
            <v>0.0021416045039999994</v>
          </cell>
          <cell r="AD20">
            <v>0.0017044130520000001</v>
          </cell>
          <cell r="AE20">
            <v>6.3361080000000004E-06</v>
          </cell>
          <cell r="AF20">
            <v>3.8016647999999993E-07</v>
          </cell>
          <cell r="AG20">
            <v>3.4848594E-05</v>
          </cell>
          <cell r="AH20">
            <v>4.4352756E-05</v>
          </cell>
          <cell r="AI20">
            <v>2.66116536E-06</v>
          </cell>
          <cell r="AJ20" t="str">
            <v>--</v>
          </cell>
          <cell r="AK20" t="str">
            <v>--</v>
          </cell>
          <cell r="AL20">
            <v>1.20386052E-05</v>
          </cell>
          <cell r="AM20">
            <v>8.2369404E-06</v>
          </cell>
          <cell r="AN20">
            <v>6.6529134E-05</v>
          </cell>
          <cell r="AO20">
            <v>7.603329599999999E-07</v>
          </cell>
        </row>
        <row r="21">
          <cell r="F21">
            <v>0.03820437617657142</v>
          </cell>
          <cell r="G21">
            <v>0.06694218126514286</v>
          </cell>
          <cell r="H21">
            <v>0.03320061717291428</v>
          </cell>
          <cell r="I21">
            <v>0.009229906810800003</v>
          </cell>
          <cell r="J21" t="str">
            <v>--</v>
          </cell>
          <cell r="K21">
            <v>1.9034569723371428</v>
          </cell>
          <cell r="L21">
            <v>0.0033471090632571426</v>
          </cell>
          <cell r="M21">
            <v>0.2883923263594285</v>
          </cell>
          <cell r="N21">
            <v>0.2684449087097143</v>
          </cell>
          <cell r="O21">
            <v>0.02826447653417143</v>
          </cell>
          <cell r="P21">
            <v>0.0020927883940971424</v>
          </cell>
          <cell r="Q21" t="str">
            <v>--</v>
          </cell>
          <cell r="R21" t="str">
            <v>--</v>
          </cell>
          <cell r="S21">
            <v>0.0016228407579428573</v>
          </cell>
          <cell r="T21">
            <v>0.0037190100702857143</v>
          </cell>
          <cell r="U21">
            <v>0.00253230776604</v>
          </cell>
          <cell r="V21" t="str">
            <v>--</v>
          </cell>
          <cell r="W21">
            <v>0.10548464926628572</v>
          </cell>
          <cell r="X21" t="str">
            <v>--</v>
          </cell>
          <cell r="Y21" t="str">
            <v>--</v>
          </cell>
          <cell r="Z21">
            <v>0.005071377368571428</v>
          </cell>
          <cell r="AA21">
            <v>0.0018899332993542856</v>
          </cell>
          <cell r="AB21">
            <v>0.0008519913979200001</v>
          </cell>
          <cell r="AC21">
            <v>0.0022855007341028564</v>
          </cell>
          <cell r="AD21">
            <v>0.0018189340161942858</v>
          </cell>
          <cell r="AE21">
            <v>6.761836491428571E-06</v>
          </cell>
          <cell r="AF21">
            <v>4.057101894857143E-07</v>
          </cell>
          <cell r="AG21">
            <v>3.7190100702857153E-05</v>
          </cell>
          <cell r="AH21">
            <v>4.733285544000001E-05</v>
          </cell>
          <cell r="AI21">
            <v>2.8399713264000006E-06</v>
          </cell>
          <cell r="AJ21" t="str">
            <v>--</v>
          </cell>
          <cell r="AK21" t="str">
            <v>--</v>
          </cell>
          <cell r="AL21">
            <v>1.2847489333714286E-05</v>
          </cell>
          <cell r="AM21">
            <v>8.790387438857144E-06</v>
          </cell>
          <cell r="AN21">
            <v>7.099928316000001E-05</v>
          </cell>
          <cell r="AO21">
            <v>8.114203789714286E-07</v>
          </cell>
        </row>
        <row r="23">
          <cell r="F23">
            <v>0.19185372359999994</v>
          </cell>
          <cell r="G23">
            <v>0.0019379163999999995</v>
          </cell>
          <cell r="H23" t="str">
            <v>--</v>
          </cell>
          <cell r="I23" t="str">
            <v>--</v>
          </cell>
          <cell r="J23">
            <v>0.16859872679999996</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row>
        <row r="24">
          <cell r="F24">
            <v>0.0033641685</v>
          </cell>
          <cell r="G24">
            <v>3.39815E-05</v>
          </cell>
          <cell r="H24" t="str">
            <v>--</v>
          </cell>
          <cell r="I24" t="str">
            <v>--</v>
          </cell>
          <cell r="J24">
            <v>0.0029563905</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row>
        <row r="25">
          <cell r="F25">
            <v>6.043220611999998</v>
          </cell>
          <cell r="G25">
            <v>0.11621578099999998</v>
          </cell>
          <cell r="H25" t="str">
            <v>--</v>
          </cell>
          <cell r="I25" t="str">
            <v>--</v>
          </cell>
          <cell r="J25">
            <v>5.345925925999998</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row>
        <row r="26">
          <cell r="F26">
            <v>2.04008428</v>
          </cell>
          <cell r="G26">
            <v>0.03923239</v>
          </cell>
          <cell r="H26" t="str">
            <v>--</v>
          </cell>
          <cell r="I26" t="str">
            <v>--</v>
          </cell>
          <cell r="J26">
            <v>1.8046899399999996</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row>
        <row r="28">
          <cell r="F28">
            <v>0.009584700122627738</v>
          </cell>
          <cell r="G28">
            <v>0.045543715776</v>
          </cell>
          <cell r="H28">
            <v>0.019965037248</v>
          </cell>
          <cell r="I28">
            <v>0.013912067520000002</v>
          </cell>
          <cell r="J28" t="str">
            <v>--</v>
          </cell>
          <cell r="K28">
            <v>0.05760084095999999</v>
          </cell>
          <cell r="L28">
            <v>0.004139450265600001</v>
          </cell>
          <cell r="M28">
            <v>0.037440546624</v>
          </cell>
          <cell r="N28">
            <v>0.00451532016</v>
          </cell>
          <cell r="O28">
            <v>0.0019086380352000003</v>
          </cell>
          <cell r="P28" t="str">
            <v>--</v>
          </cell>
          <cell r="Q28" t="str">
            <v>--</v>
          </cell>
          <cell r="R28">
            <v>7.126171094890513E-05</v>
          </cell>
          <cell r="S28" t="str">
            <v>--</v>
          </cell>
          <cell r="T28">
            <v>0.0038837632467153293</v>
          </cell>
          <cell r="U28" t="str">
            <v>--</v>
          </cell>
          <cell r="V28">
            <v>0.06638028374890512</v>
          </cell>
          <cell r="W28" t="str">
            <v>--</v>
          </cell>
          <cell r="X28" t="str">
            <v>--</v>
          </cell>
          <cell r="Y28" t="str">
            <v>--</v>
          </cell>
          <cell r="Z28" t="str">
            <v>--</v>
          </cell>
          <cell r="AA28" t="str">
            <v>--</v>
          </cell>
          <cell r="AB28" t="str">
            <v>--</v>
          </cell>
          <cell r="AC28" t="str">
            <v>--</v>
          </cell>
          <cell r="AD28" t="str">
            <v>--</v>
          </cell>
          <cell r="AE28">
            <v>0.000570093687591241</v>
          </cell>
          <cell r="AF28" t="str">
            <v>--</v>
          </cell>
          <cell r="AG28">
            <v>0.0005344628321167883</v>
          </cell>
          <cell r="AH28">
            <v>0.0002137851328467153</v>
          </cell>
          <cell r="AI28" t="str">
            <v>--</v>
          </cell>
          <cell r="AJ28" t="str">
            <v>--</v>
          </cell>
          <cell r="AK28">
            <v>0.002957361004379562</v>
          </cell>
          <cell r="AL28">
            <v>0.0011045565197080292</v>
          </cell>
          <cell r="AM28">
            <v>0.0007126171094890511</v>
          </cell>
          <cell r="AN28">
            <v>0.0013896033635036496</v>
          </cell>
          <cell r="AO28">
            <v>0.0007838788204379563</v>
          </cell>
        </row>
        <row r="29">
          <cell r="F29">
            <v>0.0010324981839416058</v>
          </cell>
          <cell r="G29">
            <v>0.004906131984</v>
          </cell>
          <cell r="H29">
            <v>0.002150705232</v>
          </cell>
          <cell r="I29">
            <v>0.0014986576800000001</v>
          </cell>
          <cell r="J29" t="str">
            <v>--</v>
          </cell>
          <cell r="K29">
            <v>0.00620496864</v>
          </cell>
          <cell r="L29">
            <v>0.0004459163904</v>
          </cell>
          <cell r="M29">
            <v>0.004033229615999999</v>
          </cell>
          <cell r="N29">
            <v>0.00048640644</v>
          </cell>
          <cell r="O29">
            <v>0.00020560531680000003</v>
          </cell>
          <cell r="P29" t="str">
            <v>--</v>
          </cell>
          <cell r="Q29" t="str">
            <v>--</v>
          </cell>
          <cell r="R29">
            <v>7.676566423357666E-06</v>
          </cell>
          <cell r="S29" t="str">
            <v>--</v>
          </cell>
          <cell r="T29">
            <v>0.00041837287007299274</v>
          </cell>
          <cell r="U29" t="str">
            <v>--</v>
          </cell>
          <cell r="V29">
            <v>0.007150721623357664</v>
          </cell>
          <cell r="W29" t="str">
            <v>--</v>
          </cell>
          <cell r="X29" t="str">
            <v>--</v>
          </cell>
          <cell r="Y29" t="str">
            <v>--</v>
          </cell>
          <cell r="Z29" t="str">
            <v>--</v>
          </cell>
          <cell r="AA29" t="str">
            <v>--</v>
          </cell>
          <cell r="AB29" t="str">
            <v>--</v>
          </cell>
          <cell r="AC29" t="str">
            <v>--</v>
          </cell>
          <cell r="AD29" t="str">
            <v>--</v>
          </cell>
          <cell r="AE29">
            <v>6.141253138686133E-05</v>
          </cell>
          <cell r="AF29" t="str">
            <v>--</v>
          </cell>
          <cell r="AG29">
            <v>5.7574248175182487E-05</v>
          </cell>
          <cell r="AH29">
            <v>2.302969927007299E-05</v>
          </cell>
          <cell r="AI29" t="str">
            <v>--</v>
          </cell>
          <cell r="AJ29" t="str">
            <v>--</v>
          </cell>
          <cell r="AK29">
            <v>0.00031857750656934307</v>
          </cell>
          <cell r="AL29">
            <v>0.0001189867795620438</v>
          </cell>
          <cell r="AM29">
            <v>7.676566423357664E-05</v>
          </cell>
          <cell r="AN29">
            <v>0.00014969304525547445</v>
          </cell>
          <cell r="AO29">
            <v>8.444223065693434E-05</v>
          </cell>
        </row>
        <row r="30">
          <cell r="F30">
            <v>0.00015584878248175183</v>
          </cell>
          <cell r="G30">
            <v>0.000740548224</v>
          </cell>
          <cell r="H30">
            <v>0.000324634752</v>
          </cell>
          <cell r="I30">
            <v>0.00022621248000000006</v>
          </cell>
          <cell r="J30" t="str">
            <v>--</v>
          </cell>
          <cell r="K30">
            <v>0.0009365990399999999</v>
          </cell>
          <cell r="L30">
            <v>6.730813440000001E-05</v>
          </cell>
          <cell r="M30">
            <v>0.000608789376</v>
          </cell>
          <cell r="N30">
            <v>7.341984E-05</v>
          </cell>
          <cell r="O30">
            <v>3.1034764800000004E-05</v>
          </cell>
          <cell r="P30" t="str">
            <v>--</v>
          </cell>
          <cell r="Q30" t="str">
            <v>--</v>
          </cell>
          <cell r="R30">
            <v>1.1587270072992701E-06</v>
          </cell>
          <cell r="S30" t="str">
            <v>--</v>
          </cell>
          <cell r="T30">
            <v>6.315062189781023E-05</v>
          </cell>
          <cell r="U30" t="str">
            <v>--</v>
          </cell>
          <cell r="V30">
            <v>0.00107935420729927</v>
          </cell>
          <cell r="W30" t="str">
            <v>--</v>
          </cell>
          <cell r="X30" t="str">
            <v>--</v>
          </cell>
          <cell r="Y30" t="str">
            <v>--</v>
          </cell>
          <cell r="Z30" t="str">
            <v>--</v>
          </cell>
          <cell r="AA30" t="str">
            <v>--</v>
          </cell>
          <cell r="AB30" t="str">
            <v>--</v>
          </cell>
          <cell r="AC30" t="str">
            <v>--</v>
          </cell>
          <cell r="AD30" t="str">
            <v>--</v>
          </cell>
          <cell r="AE30">
            <v>9.269816058394161E-06</v>
          </cell>
          <cell r="AF30" t="str">
            <v>--</v>
          </cell>
          <cell r="AG30">
            <v>8.690452554744526E-06</v>
          </cell>
          <cell r="AH30">
            <v>3.47618102189781E-06</v>
          </cell>
          <cell r="AI30" t="str">
            <v>--</v>
          </cell>
          <cell r="AJ30" t="str">
            <v>--</v>
          </cell>
          <cell r="AK30">
            <v>4.808717080291971E-05</v>
          </cell>
          <cell r="AL30">
            <v>1.7960268613138687E-05</v>
          </cell>
          <cell r="AM30">
            <v>1.1587270072992701E-05</v>
          </cell>
          <cell r="AN30">
            <v>2.2595176642335765E-05</v>
          </cell>
          <cell r="AO30">
            <v>1.2745997080291972E-05</v>
          </cell>
        </row>
        <row r="32">
          <cell r="F32">
            <v>0.002202466756204379</v>
          </cell>
          <cell r="G32">
            <v>0.010465483392</v>
          </cell>
          <cell r="H32">
            <v>0.004587762816</v>
          </cell>
          <cell r="I32">
            <v>0.00319685184</v>
          </cell>
          <cell r="J32" t="str">
            <v>--</v>
          </cell>
          <cell r="K32">
            <v>0.013236088319999999</v>
          </cell>
          <cell r="L32">
            <v>0.0009512036352000002</v>
          </cell>
          <cell r="M32">
            <v>0.008603457408</v>
          </cell>
          <cell r="N32">
            <v>0.0010375747199999998</v>
          </cell>
          <cell r="O32">
            <v>0.0004385856384</v>
          </cell>
          <cell r="P32" t="str">
            <v>--</v>
          </cell>
          <cell r="Q32" t="str">
            <v>--</v>
          </cell>
          <cell r="R32">
            <v>1.637521751824818E-05</v>
          </cell>
          <cell r="S32" t="str">
            <v>--</v>
          </cell>
          <cell r="T32">
            <v>0.0008924493547445257</v>
          </cell>
          <cell r="U32" t="str">
            <v>--</v>
          </cell>
          <cell r="V32">
            <v>0.015253515118248174</v>
          </cell>
          <cell r="W32" t="str">
            <v>--</v>
          </cell>
          <cell r="X32" t="str">
            <v>--</v>
          </cell>
          <cell r="Y32" t="str">
            <v>--</v>
          </cell>
          <cell r="Z32" t="str">
            <v>--</v>
          </cell>
          <cell r="AA32" t="str">
            <v>--</v>
          </cell>
          <cell r="AB32" t="str">
            <v>--</v>
          </cell>
          <cell r="AC32" t="str">
            <v>--</v>
          </cell>
          <cell r="AD32" t="str">
            <v>--</v>
          </cell>
          <cell r="AE32">
            <v>0.00013100174014598544</v>
          </cell>
          <cell r="AF32" t="str">
            <v>--</v>
          </cell>
          <cell r="AG32">
            <v>0.00012281413138686133</v>
          </cell>
          <cell r="AH32">
            <v>4.912565255474452E-05</v>
          </cell>
          <cell r="AI32" t="str">
            <v>--</v>
          </cell>
          <cell r="AJ32" t="str">
            <v>--</v>
          </cell>
          <cell r="AK32">
            <v>0.0006795715270072993</v>
          </cell>
          <cell r="AL32">
            <v>0.0002538158715328467</v>
          </cell>
          <cell r="AM32">
            <v>0.00016375217518248175</v>
          </cell>
          <cell r="AN32">
            <v>0.0003193167416058394</v>
          </cell>
          <cell r="AO32">
            <v>0.00018012739270072993</v>
          </cell>
        </row>
        <row r="33">
          <cell r="F33">
            <v>0.0001797651994160584</v>
          </cell>
          <cell r="G33">
            <v>0.0008541921024</v>
          </cell>
          <cell r="H33">
            <v>0.00037445291520000004</v>
          </cell>
          <cell r="I33">
            <v>0.000260926848</v>
          </cell>
          <cell r="J33" t="str">
            <v>--</v>
          </cell>
          <cell r="K33">
            <v>0.0010803287039999998</v>
          </cell>
          <cell r="L33">
            <v>7.763718144E-05</v>
          </cell>
          <cell r="M33">
            <v>0.0007022136576</v>
          </cell>
          <cell r="N33">
            <v>8.4686784E-05</v>
          </cell>
          <cell r="O33">
            <v>3.579733248E-05</v>
          </cell>
          <cell r="P33" t="str">
            <v>--</v>
          </cell>
          <cell r="Q33" t="str">
            <v>--</v>
          </cell>
          <cell r="R33">
            <v>1.3365442335766425E-06</v>
          </cell>
          <cell r="S33" t="str">
            <v>--</v>
          </cell>
          <cell r="T33">
            <v>7.2841660729927E-05</v>
          </cell>
          <cell r="U33" t="str">
            <v>--</v>
          </cell>
          <cell r="V33">
            <v>0.0012449909535766424</v>
          </cell>
          <cell r="W33" t="str">
            <v>--</v>
          </cell>
          <cell r="X33" t="str">
            <v>--</v>
          </cell>
          <cell r="Y33" t="str">
            <v>--</v>
          </cell>
          <cell r="Z33" t="str">
            <v>--</v>
          </cell>
          <cell r="AA33" t="str">
            <v>--</v>
          </cell>
          <cell r="AB33" t="str">
            <v>--</v>
          </cell>
          <cell r="AC33" t="str">
            <v>--</v>
          </cell>
          <cell r="AD33" t="str">
            <v>--</v>
          </cell>
          <cell r="AE33">
            <v>1.069235386861314E-05</v>
          </cell>
          <cell r="AF33" t="str">
            <v>--</v>
          </cell>
          <cell r="AG33">
            <v>1.0024081751824819E-05</v>
          </cell>
          <cell r="AH33">
            <v>4.009632700729927E-06</v>
          </cell>
          <cell r="AI33" t="str">
            <v>--</v>
          </cell>
          <cell r="AJ33" t="str">
            <v>--</v>
          </cell>
          <cell r="AK33">
            <v>5.546658569343066E-05</v>
          </cell>
          <cell r="AL33">
            <v>2.0716435620437955E-05</v>
          </cell>
          <cell r="AM33">
            <v>1.3365442335766424E-05</v>
          </cell>
          <cell r="AN33">
            <v>2.6062612554744523E-05</v>
          </cell>
          <cell r="AO33">
            <v>1.4701986569343066E-05</v>
          </cell>
        </row>
        <row r="35">
          <cell r="F35">
            <v>0.0077328</v>
          </cell>
          <cell r="G35">
            <v>7.81090909090909E-05</v>
          </cell>
          <cell r="H35" t="str">
            <v>--</v>
          </cell>
          <cell r="I35" t="str">
            <v>--</v>
          </cell>
          <cell r="J35">
            <v>0.006795490909090909</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row>
        <row r="36">
          <cell r="F36">
            <v>1.3236363636363637E-05</v>
          </cell>
          <cell r="G36">
            <v>2.545454545454546E-07</v>
          </cell>
          <cell r="H36" t="str">
            <v>--</v>
          </cell>
          <cell r="I36" t="str">
            <v>--</v>
          </cell>
          <cell r="J36">
            <v>1.1709090909090908E-05</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row>
        <row r="37">
          <cell r="F37">
            <v>1.3236363636363637E-05</v>
          </cell>
          <cell r="G37">
            <v>2.545454545454546E-07</v>
          </cell>
          <cell r="H37" t="str">
            <v>--</v>
          </cell>
          <cell r="I37" t="str">
            <v>--</v>
          </cell>
          <cell r="J37">
            <v>1.1709090909090908E-05</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row>
        <row r="39">
          <cell r="F39">
            <v>0.00247053201320132</v>
          </cell>
          <cell r="G39">
            <v>0.00123526600660066</v>
          </cell>
          <cell r="H39">
            <v>0.0007720412541254127</v>
          </cell>
          <cell r="I39" t="str">
            <v>--</v>
          </cell>
          <cell r="J39">
            <v>0.00023161237623762376</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row>
        <row r="40">
          <cell r="F40">
            <v>0.006327244884488448</v>
          </cell>
          <cell r="G40">
            <v>0.003163622442244224</v>
          </cell>
          <cell r="H40">
            <v>0.00197726402640264</v>
          </cell>
          <cell r="I40" t="str">
            <v>--</v>
          </cell>
          <cell r="J40">
            <v>0.000593179207920792</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row>
        <row r="42">
          <cell r="F42" t="str">
            <v>--</v>
          </cell>
          <cell r="G42">
            <v>0.078125</v>
          </cell>
          <cell r="H42">
            <v>0.078125</v>
          </cell>
          <cell r="I42">
            <v>0.078125</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row>
        <row r="44">
          <cell r="F44">
            <v>0.000391338</v>
          </cell>
          <cell r="G44">
            <v>0.001027647</v>
          </cell>
          <cell r="H44">
            <v>0.0020283750000000007</v>
          </cell>
          <cell r="I44">
            <v>0.0017923680000000001</v>
          </cell>
          <cell r="J44" t="str">
            <v>--</v>
          </cell>
          <cell r="K44">
            <v>0.00093204</v>
          </cell>
          <cell r="L44">
            <v>3.8826E-05</v>
          </cell>
          <cell r="M44">
            <v>0.00022404600000000002</v>
          </cell>
          <cell r="N44">
            <v>5.3784E-05</v>
          </cell>
          <cell r="O44">
            <v>0.000247941</v>
          </cell>
          <cell r="P44" t="str">
            <v>--</v>
          </cell>
          <cell r="Q44">
            <v>0.00012285</v>
          </cell>
          <cell r="R44" t="str">
            <v>--</v>
          </cell>
          <cell r="S44" t="str">
            <v>--</v>
          </cell>
          <cell r="T44">
            <v>0.00044809200000000003</v>
          </cell>
          <cell r="U44" t="str">
            <v>--</v>
          </cell>
          <cell r="V44" t="str">
            <v>--</v>
          </cell>
          <cell r="W44">
            <v>0.00020911500000000006</v>
          </cell>
          <cell r="X44">
            <v>1.7928E-05</v>
          </cell>
          <cell r="Y44">
            <v>0.000555633</v>
          </cell>
          <cell r="Z44" t="str">
            <v>--</v>
          </cell>
          <cell r="AA44">
            <v>3.8826E-05</v>
          </cell>
          <cell r="AB44" t="str">
            <v>--</v>
          </cell>
          <cell r="AC44" t="str">
            <v>--</v>
          </cell>
          <cell r="AD44" t="str">
            <v>--</v>
          </cell>
          <cell r="AE44" t="str">
            <v>--</v>
          </cell>
          <cell r="AF44" t="str">
            <v>--</v>
          </cell>
          <cell r="AG44" t="str">
            <v>--</v>
          </cell>
          <cell r="AH44" t="str">
            <v>--</v>
          </cell>
          <cell r="AI44" t="str">
            <v>--</v>
          </cell>
          <cell r="AJ44">
            <v>8.910000000000001E-07</v>
          </cell>
          <cell r="AK44" t="str">
            <v>--</v>
          </cell>
          <cell r="AL44">
            <v>8.910000000000001E-07</v>
          </cell>
          <cell r="AM44" t="str">
            <v>--</v>
          </cell>
          <cell r="AN44">
            <v>8.910000000000001E-07</v>
          </cell>
          <cell r="AO44"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EF"/>
      <sheetName val="Short-Term"/>
      <sheetName val="Long-Term"/>
      <sheetName val="Total"/>
      <sheetName val="Federal PTE"/>
      <sheetName val="Exempt"/>
      <sheetName val="Variables"/>
      <sheetName val="Fuel Use Limits"/>
      <sheetName val="OLD DO NOT USE"/>
      <sheetName val="OLDER DO NOT USE"/>
    </sheetNames>
    <sheetDataSet>
      <sheetData sheetId="7">
        <row r="6">
          <cell r="C6">
            <v>2524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B1:Q52"/>
  <sheetViews>
    <sheetView showGridLines="0" zoomScale="75" zoomScaleNormal="75" zoomScalePageLayoutView="0" workbookViewId="0" topLeftCell="A1">
      <selection activeCell="B9" sqref="B9:D18"/>
    </sheetView>
  </sheetViews>
  <sheetFormatPr defaultColWidth="10.875" defaultRowHeight="12.75"/>
  <cols>
    <col min="1" max="1" width="2.75390625" style="82" customWidth="1"/>
    <col min="2" max="2" width="21.50390625" style="82" customWidth="1"/>
    <col min="3" max="3" width="21.625" style="82" customWidth="1"/>
    <col min="4" max="4" width="16.00390625" style="82" customWidth="1"/>
    <col min="5" max="5" width="6.625" style="84" customWidth="1"/>
    <col min="6" max="6" width="6.625" style="85" customWidth="1"/>
    <col min="7" max="7" width="8.625" style="87" customWidth="1"/>
    <col min="8" max="8" width="10.50390625" style="82" customWidth="1"/>
    <col min="9" max="9" width="12.625" style="87" customWidth="1"/>
    <col min="10" max="10" width="9.625" style="82" customWidth="1"/>
    <col min="11" max="14" width="6.625" style="82" customWidth="1"/>
    <col min="15" max="15" width="14.625" style="82" customWidth="1"/>
    <col min="16" max="16" width="2.50390625" style="82" customWidth="1"/>
    <col min="17" max="16384" width="10.875" style="82" customWidth="1"/>
  </cols>
  <sheetData>
    <row r="1" spans="2:15" ht="14.25">
      <c r="B1" s="83"/>
      <c r="G1" s="86"/>
      <c r="L1" s="88"/>
      <c r="N1" s="89"/>
      <c r="O1" s="89"/>
    </row>
    <row r="2" spans="2:15" ht="15">
      <c r="B2" s="319" t="s">
        <v>0</v>
      </c>
      <c r="C2" s="319"/>
      <c r="D2" s="319"/>
      <c r="E2" s="319"/>
      <c r="F2" s="319"/>
      <c r="G2" s="319"/>
      <c r="H2" s="319"/>
      <c r="I2" s="319"/>
      <c r="J2" s="319"/>
      <c r="K2" s="319"/>
      <c r="L2" s="319"/>
      <c r="M2" s="319"/>
      <c r="N2" s="319"/>
      <c r="O2" s="319"/>
    </row>
    <row r="3" spans="2:15" ht="15">
      <c r="B3" s="320" t="s">
        <v>199</v>
      </c>
      <c r="C3" s="320"/>
      <c r="D3" s="320"/>
      <c r="E3" s="320"/>
      <c r="F3" s="320"/>
      <c r="G3" s="320"/>
      <c r="H3" s="320"/>
      <c r="I3" s="320"/>
      <c r="J3" s="320"/>
      <c r="K3" s="320"/>
      <c r="L3" s="320"/>
      <c r="M3" s="320"/>
      <c r="N3" s="320"/>
      <c r="O3" s="320"/>
    </row>
    <row r="4" spans="2:15" ht="15">
      <c r="B4" s="320" t="s">
        <v>1</v>
      </c>
      <c r="C4" s="320"/>
      <c r="D4" s="320"/>
      <c r="E4" s="320"/>
      <c r="F4" s="320"/>
      <c r="G4" s="320"/>
      <c r="H4" s="320"/>
      <c r="I4" s="320"/>
      <c r="J4" s="320"/>
      <c r="K4" s="320"/>
      <c r="L4" s="320"/>
      <c r="M4" s="320"/>
      <c r="N4" s="320"/>
      <c r="O4" s="320"/>
    </row>
    <row r="5" ht="15.75" thickBot="1">
      <c r="B5" s="90"/>
    </row>
    <row r="6" spans="2:15" ht="15">
      <c r="B6" s="91"/>
      <c r="C6" s="92"/>
      <c r="D6" s="93" t="s">
        <v>192</v>
      </c>
      <c r="E6" s="93" t="s">
        <v>2</v>
      </c>
      <c r="F6" s="94"/>
      <c r="G6" s="95"/>
      <c r="H6" s="92"/>
      <c r="I6" s="96" t="s">
        <v>3</v>
      </c>
      <c r="J6" s="92"/>
      <c r="K6" s="97" t="s">
        <v>4</v>
      </c>
      <c r="L6" s="97"/>
      <c r="M6" s="97"/>
      <c r="N6" s="97"/>
      <c r="O6" s="98"/>
    </row>
    <row r="7" spans="2:15" ht="18" customHeight="1" thickBot="1">
      <c r="B7" s="101" t="s">
        <v>6</v>
      </c>
      <c r="C7" s="102" t="s">
        <v>7</v>
      </c>
      <c r="D7" s="103" t="s">
        <v>183</v>
      </c>
      <c r="E7" s="103" t="s">
        <v>8</v>
      </c>
      <c r="F7" s="104" t="s">
        <v>9</v>
      </c>
      <c r="G7" s="105" t="s">
        <v>10</v>
      </c>
      <c r="H7" s="103" t="s">
        <v>11</v>
      </c>
      <c r="I7" s="105" t="s">
        <v>12</v>
      </c>
      <c r="J7" s="103" t="s">
        <v>13</v>
      </c>
      <c r="K7" s="106" t="s">
        <v>14</v>
      </c>
      <c r="L7" s="106" t="s">
        <v>15</v>
      </c>
      <c r="M7" s="102" t="s">
        <v>16</v>
      </c>
      <c r="N7" s="103" t="s">
        <v>17</v>
      </c>
      <c r="O7" s="107" t="s">
        <v>18</v>
      </c>
    </row>
    <row r="8" ht="19.5" customHeight="1">
      <c r="D8" s="84" t="s">
        <v>5</v>
      </c>
    </row>
    <row r="9" spans="2:14" ht="19.5" customHeight="1">
      <c r="B9" s="112" t="s">
        <v>194</v>
      </c>
      <c r="C9" s="112" t="s">
        <v>186</v>
      </c>
      <c r="D9" s="84"/>
      <c r="E9" s="108" t="s">
        <v>19</v>
      </c>
      <c r="F9" s="109" t="s">
        <v>19</v>
      </c>
      <c r="G9" s="87">
        <v>10</v>
      </c>
      <c r="H9" s="114" t="s">
        <v>189</v>
      </c>
      <c r="I9" s="108" t="s">
        <v>19</v>
      </c>
      <c r="J9" s="109" t="s">
        <v>19</v>
      </c>
      <c r="K9" s="110">
        <v>1</v>
      </c>
      <c r="L9" s="110">
        <v>24</v>
      </c>
      <c r="M9" s="110">
        <v>2190</v>
      </c>
      <c r="N9" s="110">
        <v>8760</v>
      </c>
    </row>
    <row r="10" spans="3:14" ht="19.5" customHeight="1">
      <c r="C10" s="112" t="s">
        <v>187</v>
      </c>
      <c r="D10" s="84"/>
      <c r="E10" s="108" t="s">
        <v>19</v>
      </c>
      <c r="F10" s="109" t="s">
        <v>19</v>
      </c>
      <c r="G10" s="87">
        <v>43</v>
      </c>
      <c r="H10" s="114" t="s">
        <v>189</v>
      </c>
      <c r="I10" s="108" t="s">
        <v>19</v>
      </c>
      <c r="J10" s="109" t="s">
        <v>19</v>
      </c>
      <c r="K10" s="110">
        <v>1</v>
      </c>
      <c r="L10" s="110">
        <v>24</v>
      </c>
      <c r="M10" s="110">
        <v>2190</v>
      </c>
      <c r="N10" s="110">
        <v>8760</v>
      </c>
    </row>
    <row r="11" spans="2:17" ht="19.5" customHeight="1">
      <c r="B11" s="112" t="s">
        <v>195</v>
      </c>
      <c r="C11" s="112" t="s">
        <v>186</v>
      </c>
      <c r="D11" s="194">
        <v>106451</v>
      </c>
      <c r="E11" s="108" t="s">
        <v>19</v>
      </c>
      <c r="F11" s="109" t="s">
        <v>19</v>
      </c>
      <c r="G11" s="113">
        <v>17</v>
      </c>
      <c r="H11" s="114" t="s">
        <v>189</v>
      </c>
      <c r="I11" s="108" t="s">
        <v>19</v>
      </c>
      <c r="J11" s="109" t="s">
        <v>19</v>
      </c>
      <c r="K11" s="110">
        <v>1</v>
      </c>
      <c r="L11" s="110">
        <v>24</v>
      </c>
      <c r="M11" s="110">
        <v>2190</v>
      </c>
      <c r="N11" s="110">
        <v>8760</v>
      </c>
      <c r="O11" s="84" t="s">
        <v>175</v>
      </c>
      <c r="P11" s="89"/>
      <c r="Q11" s="89"/>
    </row>
    <row r="12" spans="3:17" ht="19.5" customHeight="1">
      <c r="C12" s="112" t="s">
        <v>193</v>
      </c>
      <c r="D12" s="194"/>
      <c r="E12" s="108" t="s">
        <v>19</v>
      </c>
      <c r="F12" s="109" t="s">
        <v>19</v>
      </c>
      <c r="G12" s="113">
        <v>10</v>
      </c>
      <c r="H12" s="114" t="s">
        <v>189</v>
      </c>
      <c r="I12" s="108" t="s">
        <v>19</v>
      </c>
      <c r="J12" s="109" t="s">
        <v>19</v>
      </c>
      <c r="K12" s="110">
        <v>1</v>
      </c>
      <c r="L12" s="110">
        <v>24</v>
      </c>
      <c r="M12" s="110">
        <v>2190</v>
      </c>
      <c r="N12" s="110">
        <v>8760</v>
      </c>
      <c r="O12" s="84"/>
      <c r="P12" s="89"/>
      <c r="Q12" s="89"/>
    </row>
    <row r="13" spans="2:17" ht="19.5" customHeight="1">
      <c r="B13" s="196"/>
      <c r="C13" s="112" t="s">
        <v>187</v>
      </c>
      <c r="D13" s="194">
        <v>106452</v>
      </c>
      <c r="E13" s="108" t="s">
        <v>19</v>
      </c>
      <c r="F13" s="109" t="s">
        <v>19</v>
      </c>
      <c r="G13" s="113">
        <v>89</v>
      </c>
      <c r="H13" s="114" t="s">
        <v>189</v>
      </c>
      <c r="I13" s="108" t="s">
        <v>19</v>
      </c>
      <c r="J13" s="109" t="s">
        <v>19</v>
      </c>
      <c r="K13" s="110">
        <v>1</v>
      </c>
      <c r="L13" s="110">
        <v>24</v>
      </c>
      <c r="M13" s="110">
        <v>2190</v>
      </c>
      <c r="N13" s="110">
        <v>8760</v>
      </c>
      <c r="O13" s="84"/>
      <c r="P13" s="89"/>
      <c r="Q13" s="89"/>
    </row>
    <row r="14" spans="2:17" ht="19.5" customHeight="1">
      <c r="B14" s="112"/>
      <c r="C14" s="112" t="s">
        <v>188</v>
      </c>
      <c r="D14" s="194">
        <v>106453</v>
      </c>
      <c r="E14" s="108" t="s">
        <v>19</v>
      </c>
      <c r="F14" s="109" t="s">
        <v>19</v>
      </c>
      <c r="G14" s="113">
        <v>28</v>
      </c>
      <c r="H14" s="114" t="s">
        <v>189</v>
      </c>
      <c r="I14" s="108" t="s">
        <v>19</v>
      </c>
      <c r="J14" s="109" t="s">
        <v>19</v>
      </c>
      <c r="K14" s="110">
        <v>1</v>
      </c>
      <c r="L14" s="110">
        <v>24</v>
      </c>
      <c r="M14" s="110">
        <v>2190</v>
      </c>
      <c r="N14" s="110">
        <v>8760</v>
      </c>
      <c r="O14" s="84"/>
      <c r="P14" s="89"/>
      <c r="Q14" s="89"/>
    </row>
    <row r="15" spans="2:17" ht="19.5" customHeight="1">
      <c r="B15" s="89"/>
      <c r="C15" s="89"/>
      <c r="D15" s="194"/>
      <c r="E15" s="111"/>
      <c r="F15" s="109"/>
      <c r="G15" s="86"/>
      <c r="H15" s="89"/>
      <c r="I15" s="86"/>
      <c r="J15" s="89"/>
      <c r="K15" s="89"/>
      <c r="L15" s="89"/>
      <c r="M15" s="89"/>
      <c r="N15" s="89"/>
      <c r="O15" s="111"/>
      <c r="P15" s="89"/>
      <c r="Q15" s="89"/>
    </row>
    <row r="16" spans="2:17" ht="19.5" customHeight="1">
      <c r="B16" s="112" t="s">
        <v>131</v>
      </c>
      <c r="C16" s="112" t="s">
        <v>49</v>
      </c>
      <c r="D16" s="194">
        <v>100195</v>
      </c>
      <c r="E16" s="108" t="s">
        <v>19</v>
      </c>
      <c r="F16" s="109" t="s">
        <v>19</v>
      </c>
      <c r="G16" s="115">
        <v>95</v>
      </c>
      <c r="H16" s="114" t="s">
        <v>21</v>
      </c>
      <c r="I16" s="115">
        <v>95</v>
      </c>
      <c r="J16" s="114" t="s">
        <v>50</v>
      </c>
      <c r="K16" s="110">
        <v>1</v>
      </c>
      <c r="L16" s="110">
        <v>24</v>
      </c>
      <c r="M16" s="110">
        <v>2190</v>
      </c>
      <c r="N16" s="110">
        <v>8760</v>
      </c>
      <c r="O16" s="84" t="s">
        <v>24</v>
      </c>
      <c r="P16" s="89"/>
      <c r="Q16" s="89"/>
    </row>
    <row r="17" spans="2:17" ht="19.5" customHeight="1">
      <c r="B17" s="89"/>
      <c r="C17" s="88"/>
      <c r="D17" s="195"/>
      <c r="E17" s="108"/>
      <c r="F17" s="109"/>
      <c r="G17" s="86"/>
      <c r="H17" s="114"/>
      <c r="I17" s="113"/>
      <c r="J17" s="108"/>
      <c r="K17" s="110"/>
      <c r="L17" s="110"/>
      <c r="M17" s="110"/>
      <c r="N17" s="110"/>
      <c r="O17" s="108"/>
      <c r="P17" s="89"/>
      <c r="Q17" s="89"/>
    </row>
    <row r="18" spans="2:17" ht="19.5" customHeight="1">
      <c r="B18" s="89" t="s">
        <v>22</v>
      </c>
      <c r="C18" s="89" t="s">
        <v>182</v>
      </c>
      <c r="D18" s="195">
        <v>106334</v>
      </c>
      <c r="E18" s="108" t="s">
        <v>19</v>
      </c>
      <c r="F18" s="109" t="s">
        <v>19</v>
      </c>
      <c r="G18" s="110">
        <v>1</v>
      </c>
      <c r="H18" s="89" t="s">
        <v>23</v>
      </c>
      <c r="I18" s="110">
        <v>1</v>
      </c>
      <c r="J18" s="89" t="s">
        <v>23</v>
      </c>
      <c r="K18" s="116">
        <v>1</v>
      </c>
      <c r="L18" s="116">
        <v>1</v>
      </c>
      <c r="M18" s="116">
        <v>1</v>
      </c>
      <c r="N18" s="116">
        <v>1</v>
      </c>
      <c r="O18" s="111" t="s">
        <v>51</v>
      </c>
      <c r="P18" s="89"/>
      <c r="Q18" s="89"/>
    </row>
    <row r="19" spans="2:17" ht="14.25">
      <c r="B19" s="89"/>
      <c r="C19" s="89"/>
      <c r="D19" s="89"/>
      <c r="E19" s="108"/>
      <c r="F19" s="109"/>
      <c r="G19" s="86"/>
      <c r="H19" s="117"/>
      <c r="I19" s="86"/>
      <c r="J19" s="117"/>
      <c r="K19" s="117"/>
      <c r="L19" s="117"/>
      <c r="M19" s="117"/>
      <c r="N19" s="117"/>
      <c r="O19" s="117"/>
      <c r="P19" s="89"/>
      <c r="Q19" s="89"/>
    </row>
    <row r="20" spans="3:17" ht="14.25">
      <c r="C20" s="89"/>
      <c r="D20" s="89"/>
      <c r="E20" s="108"/>
      <c r="F20" s="109"/>
      <c r="G20" s="86"/>
      <c r="H20" s="117"/>
      <c r="I20" s="86"/>
      <c r="J20" s="117"/>
      <c r="K20" s="117"/>
      <c r="L20" s="117"/>
      <c r="M20" s="117"/>
      <c r="N20" s="117"/>
      <c r="O20" s="117"/>
      <c r="P20" s="89"/>
      <c r="Q20" s="89"/>
    </row>
    <row r="21" spans="3:17" ht="14.25">
      <c r="C21" s="89"/>
      <c r="D21" s="89"/>
      <c r="E21" s="108"/>
      <c r="F21" s="109"/>
      <c r="G21" s="86"/>
      <c r="H21" s="117"/>
      <c r="I21" s="86"/>
      <c r="J21" s="117"/>
      <c r="K21" s="117"/>
      <c r="L21" s="117"/>
      <c r="M21" s="117"/>
      <c r="N21" s="117"/>
      <c r="O21" s="117"/>
      <c r="P21" s="89"/>
      <c r="Q21" s="89"/>
    </row>
    <row r="22" spans="3:17" ht="14.25">
      <c r="C22" s="89"/>
      <c r="D22" s="89"/>
      <c r="E22" s="108"/>
      <c r="F22" s="109"/>
      <c r="G22" s="86"/>
      <c r="H22" s="117"/>
      <c r="I22" s="86"/>
      <c r="J22" s="117"/>
      <c r="K22" s="117"/>
      <c r="L22" s="117"/>
      <c r="M22" s="117"/>
      <c r="N22" s="117"/>
      <c r="O22" s="117"/>
      <c r="P22" s="89"/>
      <c r="Q22" s="89"/>
    </row>
    <row r="23" spans="3:17" ht="14.25">
      <c r="C23" s="89"/>
      <c r="D23" s="89"/>
      <c r="E23" s="108"/>
      <c r="F23" s="109"/>
      <c r="G23" s="86"/>
      <c r="H23" s="117"/>
      <c r="I23" s="86"/>
      <c r="J23" s="117"/>
      <c r="K23" s="117"/>
      <c r="L23" s="117"/>
      <c r="M23" s="117"/>
      <c r="N23" s="117"/>
      <c r="O23" s="117"/>
      <c r="P23" s="89"/>
      <c r="Q23" s="89"/>
    </row>
    <row r="24" spans="3:16" ht="14.25">
      <c r="C24" s="89"/>
      <c r="D24" s="89"/>
      <c r="E24" s="108"/>
      <c r="F24" s="109"/>
      <c r="G24" s="86"/>
      <c r="H24" s="117"/>
      <c r="I24" s="86"/>
      <c r="J24" s="117"/>
      <c r="K24" s="117"/>
      <c r="L24" s="117"/>
      <c r="M24" s="117"/>
      <c r="N24" s="117"/>
      <c r="O24" s="117"/>
      <c r="P24" s="89"/>
    </row>
    <row r="25" spans="3:16" ht="14.25">
      <c r="C25" s="89"/>
      <c r="D25" s="89"/>
      <c r="E25" s="108"/>
      <c r="F25" s="109"/>
      <c r="G25" s="86"/>
      <c r="H25" s="117"/>
      <c r="I25" s="86"/>
      <c r="J25" s="117"/>
      <c r="K25" s="117"/>
      <c r="L25" s="117"/>
      <c r="M25" s="117"/>
      <c r="N25" s="117"/>
      <c r="O25" s="117"/>
      <c r="P25" s="89"/>
    </row>
    <row r="26" spans="3:16" ht="14.25">
      <c r="C26" s="89"/>
      <c r="D26" s="89"/>
      <c r="E26" s="108"/>
      <c r="F26" s="109"/>
      <c r="G26" s="86"/>
      <c r="H26" s="117"/>
      <c r="I26" s="86"/>
      <c r="J26" s="117"/>
      <c r="K26" s="117"/>
      <c r="L26" s="117"/>
      <c r="M26" s="117"/>
      <c r="N26" s="117"/>
      <c r="O26" s="117"/>
      <c r="P26" s="89"/>
    </row>
    <row r="27" spans="5:15" ht="14.25">
      <c r="E27" s="108"/>
      <c r="F27" s="109"/>
      <c r="G27" s="86"/>
      <c r="H27" s="117"/>
      <c r="I27" s="86"/>
      <c r="J27" s="117"/>
      <c r="K27" s="117"/>
      <c r="L27" s="117"/>
      <c r="M27" s="117"/>
      <c r="N27" s="117"/>
      <c r="O27" s="117"/>
    </row>
    <row r="28" spans="5:15" ht="14.25">
      <c r="E28" s="108"/>
      <c r="F28" s="109"/>
      <c r="G28" s="86"/>
      <c r="H28" s="117"/>
      <c r="I28" s="86"/>
      <c r="J28" s="117"/>
      <c r="K28" s="117"/>
      <c r="L28" s="117"/>
      <c r="M28" s="117"/>
      <c r="N28" s="117"/>
      <c r="O28" s="117"/>
    </row>
    <row r="29" spans="8:15" ht="14.25">
      <c r="H29" s="117"/>
      <c r="I29" s="86"/>
      <c r="J29" s="117"/>
      <c r="K29" s="117"/>
      <c r="L29" s="117"/>
      <c r="M29" s="117"/>
      <c r="N29" s="117"/>
      <c r="O29" s="117"/>
    </row>
    <row r="30" spans="8:15" ht="14.25">
      <c r="H30" s="117"/>
      <c r="I30" s="86"/>
      <c r="J30" s="117"/>
      <c r="K30" s="117"/>
      <c r="L30" s="117"/>
      <c r="M30" s="117"/>
      <c r="N30" s="117"/>
      <c r="O30" s="117"/>
    </row>
    <row r="31" spans="8:15" ht="14.25">
      <c r="H31" s="117"/>
      <c r="I31" s="86"/>
      <c r="J31" s="117"/>
      <c r="K31" s="117"/>
      <c r="L31" s="117"/>
      <c r="M31" s="117"/>
      <c r="N31" s="117"/>
      <c r="O31" s="117"/>
    </row>
    <row r="32" spans="8:15" ht="14.25">
      <c r="H32" s="117"/>
      <c r="I32" s="86"/>
      <c r="J32" s="117"/>
      <c r="K32" s="117"/>
      <c r="L32" s="117"/>
      <c r="M32" s="117"/>
      <c r="N32" s="117"/>
      <c r="O32" s="117"/>
    </row>
    <row r="33" spans="5:15" ht="14.25">
      <c r="E33" s="108"/>
      <c r="F33" s="109"/>
      <c r="G33" s="86"/>
      <c r="H33" s="117"/>
      <c r="I33" s="86"/>
      <c r="J33" s="117"/>
      <c r="K33" s="117"/>
      <c r="L33" s="117"/>
      <c r="M33" s="117"/>
      <c r="N33" s="117"/>
      <c r="O33" s="117"/>
    </row>
    <row r="34" spans="5:15" ht="14.25">
      <c r="E34" s="108"/>
      <c r="F34" s="109"/>
      <c r="G34" s="86"/>
      <c r="H34" s="117"/>
      <c r="I34" s="86"/>
      <c r="J34" s="117"/>
      <c r="K34" s="117"/>
      <c r="L34" s="117"/>
      <c r="M34" s="117"/>
      <c r="N34" s="117"/>
      <c r="O34" s="117"/>
    </row>
    <row r="35" spans="5:15" ht="14.25">
      <c r="E35" s="108"/>
      <c r="F35" s="109"/>
      <c r="G35" s="86"/>
      <c r="H35" s="117"/>
      <c r="I35" s="86"/>
      <c r="J35" s="117"/>
      <c r="K35" s="117"/>
      <c r="L35" s="117"/>
      <c r="M35" s="117"/>
      <c r="N35" s="117"/>
      <c r="O35" s="117"/>
    </row>
    <row r="36" spans="5:15" ht="14.25">
      <c r="E36" s="108"/>
      <c r="F36" s="109"/>
      <c r="G36" s="86"/>
      <c r="H36" s="117"/>
      <c r="I36" s="86"/>
      <c r="J36" s="117"/>
      <c r="K36" s="117"/>
      <c r="L36" s="117"/>
      <c r="M36" s="117"/>
      <c r="N36" s="117"/>
      <c r="O36" s="117"/>
    </row>
    <row r="37" spans="5:15" ht="14.25">
      <c r="E37" s="108"/>
      <c r="F37" s="109"/>
      <c r="G37" s="86"/>
      <c r="H37" s="117"/>
      <c r="I37" s="86"/>
      <c r="J37" s="117"/>
      <c r="K37" s="117"/>
      <c r="L37" s="117"/>
      <c r="M37" s="117"/>
      <c r="N37" s="117"/>
      <c r="O37" s="117"/>
    </row>
    <row r="38" spans="5:15" ht="14.25">
      <c r="E38" s="108"/>
      <c r="F38" s="109"/>
      <c r="G38" s="86"/>
      <c r="H38" s="117"/>
      <c r="I38" s="86"/>
      <c r="J38" s="117"/>
      <c r="K38" s="117"/>
      <c r="L38" s="117"/>
      <c r="M38" s="117"/>
      <c r="N38" s="117"/>
      <c r="O38" s="117"/>
    </row>
    <row r="39" spans="5:15" ht="14.25">
      <c r="E39" s="108"/>
      <c r="F39" s="109"/>
      <c r="G39" s="86"/>
      <c r="H39" s="117"/>
      <c r="I39" s="86"/>
      <c r="J39" s="117"/>
      <c r="K39" s="117"/>
      <c r="L39" s="117"/>
      <c r="M39" s="117"/>
      <c r="N39" s="117"/>
      <c r="O39" s="117"/>
    </row>
    <row r="40" spans="5:15" ht="14.25">
      <c r="E40" s="108"/>
      <c r="F40" s="109"/>
      <c r="G40" s="86"/>
      <c r="H40" s="117"/>
      <c r="I40" s="86"/>
      <c r="J40" s="117"/>
      <c r="K40" s="117"/>
      <c r="L40" s="117"/>
      <c r="M40" s="117"/>
      <c r="N40" s="117"/>
      <c r="O40" s="117"/>
    </row>
    <row r="41" spans="5:15" ht="14.25">
      <c r="E41" s="108"/>
      <c r="F41" s="109"/>
      <c r="G41" s="86"/>
      <c r="H41" s="117"/>
      <c r="I41" s="86"/>
      <c r="J41" s="117"/>
      <c r="K41" s="117"/>
      <c r="L41" s="117"/>
      <c r="M41" s="117"/>
      <c r="N41" s="117"/>
      <c r="O41" s="117"/>
    </row>
    <row r="42" spans="5:15" ht="14.25">
      <c r="E42" s="108"/>
      <c r="F42" s="109"/>
      <c r="G42" s="86"/>
      <c r="H42" s="117"/>
      <c r="I42" s="86"/>
      <c r="J42" s="117"/>
      <c r="K42" s="117"/>
      <c r="L42" s="117"/>
      <c r="M42" s="117"/>
      <c r="N42" s="117"/>
      <c r="O42" s="117"/>
    </row>
    <row r="43" spans="5:15" ht="14.25">
      <c r="E43" s="108"/>
      <c r="F43" s="109"/>
      <c r="G43" s="86"/>
      <c r="H43" s="117"/>
      <c r="I43" s="86"/>
      <c r="J43" s="117"/>
      <c r="K43" s="117"/>
      <c r="L43" s="117"/>
      <c r="M43" s="117"/>
      <c r="N43" s="117"/>
      <c r="O43" s="117"/>
    </row>
    <row r="44" spans="5:15" ht="14.25">
      <c r="E44" s="108"/>
      <c r="F44" s="109"/>
      <c r="G44" s="86"/>
      <c r="H44" s="117"/>
      <c r="I44" s="86"/>
      <c r="J44" s="117"/>
      <c r="K44" s="117"/>
      <c r="L44" s="117"/>
      <c r="M44" s="117"/>
      <c r="N44" s="117"/>
      <c r="O44" s="117"/>
    </row>
    <row r="45" spans="5:15" ht="14.25">
      <c r="E45" s="108"/>
      <c r="F45" s="109"/>
      <c r="G45" s="86"/>
      <c r="H45" s="117"/>
      <c r="I45" s="86"/>
      <c r="J45" s="117"/>
      <c r="K45" s="117"/>
      <c r="L45" s="117"/>
      <c r="M45" s="117"/>
      <c r="N45" s="117"/>
      <c r="O45" s="117"/>
    </row>
    <row r="46" spans="5:15" ht="14.25">
      <c r="E46" s="108"/>
      <c r="F46" s="109"/>
      <c r="G46" s="86"/>
      <c r="H46" s="117"/>
      <c r="I46" s="86"/>
      <c r="J46" s="117"/>
      <c r="K46" s="117"/>
      <c r="L46" s="117"/>
      <c r="M46" s="117"/>
      <c r="N46" s="117"/>
      <c r="O46" s="117"/>
    </row>
    <row r="47" spans="5:15" ht="14.25">
      <c r="E47" s="108"/>
      <c r="F47" s="109"/>
      <c r="G47" s="86"/>
      <c r="H47" s="117"/>
      <c r="I47" s="86"/>
      <c r="J47" s="117"/>
      <c r="K47" s="117"/>
      <c r="L47" s="117"/>
      <c r="M47" s="117"/>
      <c r="N47" s="117"/>
      <c r="O47" s="117"/>
    </row>
    <row r="48" spans="5:15" ht="14.25">
      <c r="E48" s="108"/>
      <c r="F48" s="109"/>
      <c r="G48" s="86"/>
      <c r="H48" s="117"/>
      <c r="I48" s="86"/>
      <c r="J48" s="117"/>
      <c r="K48" s="117"/>
      <c r="L48" s="117"/>
      <c r="M48" s="117"/>
      <c r="N48" s="117"/>
      <c r="O48" s="117"/>
    </row>
    <row r="49" spans="5:15" ht="14.25">
      <c r="E49" s="108"/>
      <c r="F49" s="109"/>
      <c r="G49" s="86"/>
      <c r="H49" s="117"/>
      <c r="I49" s="86"/>
      <c r="J49" s="117"/>
      <c r="K49" s="117"/>
      <c r="L49" s="117"/>
      <c r="M49" s="117"/>
      <c r="N49" s="117"/>
      <c r="O49" s="117"/>
    </row>
    <row r="50" spans="5:15" ht="14.25">
      <c r="E50" s="108"/>
      <c r="F50" s="109"/>
      <c r="G50" s="86"/>
      <c r="H50" s="117"/>
      <c r="I50" s="86"/>
      <c r="J50" s="117"/>
      <c r="K50" s="117"/>
      <c r="L50" s="117"/>
      <c r="M50" s="117"/>
      <c r="N50" s="117"/>
      <c r="O50" s="117"/>
    </row>
    <row r="51" spans="5:15" ht="14.25">
      <c r="E51" s="108"/>
      <c r="F51" s="109"/>
      <c r="G51" s="86"/>
      <c r="H51" s="117"/>
      <c r="I51" s="86"/>
      <c r="J51" s="117"/>
      <c r="K51" s="117"/>
      <c r="L51" s="117"/>
      <c r="M51" s="117"/>
      <c r="N51" s="117"/>
      <c r="O51" s="117"/>
    </row>
    <row r="52" spans="5:15" ht="14.25">
      <c r="E52" s="108"/>
      <c r="F52" s="109"/>
      <c r="G52" s="86"/>
      <c r="H52" s="117"/>
      <c r="I52" s="86"/>
      <c r="J52" s="117"/>
      <c r="K52" s="117"/>
      <c r="L52" s="117"/>
      <c r="M52" s="117"/>
      <c r="N52" s="117"/>
      <c r="O52" s="117"/>
    </row>
  </sheetData>
  <sheetProtection/>
  <mergeCells count="3">
    <mergeCell ref="B2:O2"/>
    <mergeCell ref="B3:O3"/>
    <mergeCell ref="B4:O4"/>
  </mergeCells>
  <printOptions horizontalCentered="1"/>
  <pageMargins left="0.75" right="0.56" top="1" bottom="1" header="0.5" footer="0.5"/>
  <pageSetup fitToHeight="2" horizontalDpi="300" verticalDpi="300" orientation="landscape" scale="67" r:id="rId1"/>
  <headerFooter alignWithMargins="0">
    <oddFooter>&amp;L&amp;"Times New Roman,Regular"Permit to Operate No. 8103 
Santa Barbara APCD&amp;R&amp;"CG Times (W1),Regular"&amp;11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87"/>
  <sheetViews>
    <sheetView showGridLines="0" zoomScale="98" zoomScaleNormal="98" zoomScalePageLayoutView="0" workbookViewId="0" topLeftCell="A1">
      <selection activeCell="G31" sqref="G31"/>
    </sheetView>
  </sheetViews>
  <sheetFormatPr defaultColWidth="8.00390625" defaultRowHeight="12.75"/>
  <cols>
    <col min="1" max="1" width="18.50390625" style="3" customWidth="1"/>
    <col min="2" max="2" width="17.50390625" style="3" customWidth="1"/>
    <col min="3" max="3" width="18.375" style="3" customWidth="1"/>
    <col min="4" max="4" width="17.375" style="3" customWidth="1"/>
    <col min="5" max="5" width="10.75390625" style="3" customWidth="1"/>
    <col min="6" max="6" width="13.375" style="3" customWidth="1"/>
    <col min="7" max="7" width="11.75390625" style="3" customWidth="1"/>
    <col min="8" max="8" width="9.375" style="3" customWidth="1"/>
    <col min="9" max="16384" width="8.00390625" style="3" customWidth="1"/>
  </cols>
  <sheetData>
    <row r="1" spans="1:7" ht="15.75">
      <c r="A1" s="1" t="s">
        <v>55</v>
      </c>
      <c r="B1" s="2"/>
      <c r="C1" s="2"/>
      <c r="D1" s="2"/>
      <c r="E1" s="2"/>
      <c r="F1" s="2"/>
      <c r="G1" s="2"/>
    </row>
    <row r="2" spans="1:8" ht="15.75">
      <c r="A2" s="4" t="s">
        <v>5</v>
      </c>
      <c r="B2" s="179" t="s">
        <v>5</v>
      </c>
      <c r="C2" s="179" t="s">
        <v>5</v>
      </c>
      <c r="D2" s="179" t="s">
        <v>5</v>
      </c>
      <c r="E2" s="2"/>
      <c r="F2" s="5"/>
      <c r="G2" s="2"/>
      <c r="H2" s="2"/>
    </row>
    <row r="3" spans="1:8" ht="16.5" thickBot="1">
      <c r="A3" s="4"/>
      <c r="B3" s="2"/>
      <c r="C3" s="2"/>
      <c r="D3" s="2"/>
      <c r="E3" s="2"/>
      <c r="F3" s="5"/>
      <c r="G3" s="2"/>
      <c r="H3" s="2"/>
    </row>
    <row r="4" spans="1:6" ht="15.75">
      <c r="A4" s="6" t="s">
        <v>56</v>
      </c>
      <c r="B4" s="7"/>
      <c r="C4" s="8"/>
      <c r="F4" s="9"/>
    </row>
    <row r="5" spans="1:6" ht="12.75">
      <c r="A5" s="10" t="s">
        <v>57</v>
      </c>
      <c r="B5" s="11"/>
      <c r="C5" s="12"/>
      <c r="E5" s="15" t="s">
        <v>53</v>
      </c>
      <c r="F5" s="15" t="s">
        <v>173</v>
      </c>
    </row>
    <row r="6" spans="1:6" ht="12.75">
      <c r="A6" s="71" t="s">
        <v>123</v>
      </c>
      <c r="B6" s="13"/>
      <c r="C6" s="14"/>
      <c r="E6" s="15" t="s">
        <v>54</v>
      </c>
      <c r="F6" s="16" t="s">
        <v>58</v>
      </c>
    </row>
    <row r="7" spans="1:6" ht="12.75">
      <c r="A7" s="72" t="s">
        <v>124</v>
      </c>
      <c r="B7" s="13"/>
      <c r="C7" s="17"/>
      <c r="D7" s="18"/>
      <c r="E7" s="16"/>
      <c r="F7" s="19"/>
    </row>
    <row r="8" spans="1:5" ht="12.75">
      <c r="A8" s="72" t="s">
        <v>197</v>
      </c>
      <c r="B8" s="13"/>
      <c r="C8" s="17"/>
      <c r="D8" s="18"/>
      <c r="E8" s="18"/>
    </row>
    <row r="9" spans="1:5" ht="12.75">
      <c r="A9" s="73" t="s">
        <v>198</v>
      </c>
      <c r="B9" s="13"/>
      <c r="C9" s="17"/>
      <c r="D9" s="18"/>
      <c r="E9" s="18"/>
    </row>
    <row r="10" spans="1:5" ht="12.75">
      <c r="A10" s="10" t="s">
        <v>59</v>
      </c>
      <c r="B10" s="11"/>
      <c r="C10" s="12"/>
      <c r="D10" s="18"/>
      <c r="E10" s="18"/>
    </row>
    <row r="11" spans="1:5" ht="13.5" thickBot="1">
      <c r="A11" s="74" t="str">
        <f ca="1">CELL("filename")</f>
        <v>\\sbcapcd.org\shares\Groups\ENGR\WP\Oil&amp;Gas\Major Sources\SSID 01063 Venoco - Ellwood\03035 Beachfront Lease\Reevals\PTO 8103 - R10\[Part 70-APCD PTO 8103-R10 Beachfront - with updated HAP calcs.xls]Revised HAP SS</v>
      </c>
      <c r="B11" s="20"/>
      <c r="C11" s="21"/>
      <c r="D11" s="18"/>
      <c r="E11" s="18"/>
    </row>
    <row r="12" spans="1:5" ht="12.75">
      <c r="A12" s="22"/>
      <c r="B12" s="23"/>
      <c r="C12" s="24"/>
      <c r="D12" s="18"/>
      <c r="E12" s="18"/>
    </row>
    <row r="13" spans="1:5" ht="12.75">
      <c r="A13" s="22" t="s">
        <v>60</v>
      </c>
      <c r="B13" s="24"/>
      <c r="C13" s="24"/>
      <c r="D13" s="18"/>
      <c r="E13" s="18"/>
    </row>
    <row r="14" spans="4:5" ht="12.75">
      <c r="D14" s="18"/>
      <c r="E14" s="18"/>
    </row>
    <row r="15" spans="1:7" ht="12.75">
      <c r="A15" s="18" t="s">
        <v>61</v>
      </c>
      <c r="D15" s="18" t="s">
        <v>62</v>
      </c>
      <c r="E15" s="18" t="s">
        <v>11</v>
      </c>
      <c r="G15" s="18"/>
    </row>
    <row r="16" spans="1:7" ht="12.75">
      <c r="A16" s="25" t="s">
        <v>63</v>
      </c>
      <c r="D16" s="26">
        <v>0</v>
      </c>
      <c r="E16" s="27" t="s">
        <v>64</v>
      </c>
      <c r="G16" s="24"/>
    </row>
    <row r="17" spans="1:7" ht="12.75">
      <c r="A17" s="3" t="s">
        <v>65</v>
      </c>
      <c r="D17" s="28">
        <v>0</v>
      </c>
      <c r="E17" s="29" t="s">
        <v>66</v>
      </c>
      <c r="G17" s="24"/>
    </row>
    <row r="18" spans="1:7" ht="12.75">
      <c r="A18" s="3" t="s">
        <v>67</v>
      </c>
      <c r="D18" s="28">
        <v>250</v>
      </c>
      <c r="E18" s="29" t="s">
        <v>68</v>
      </c>
      <c r="G18" s="24"/>
    </row>
    <row r="19" spans="1:7" ht="12.75">
      <c r="A19" s="25" t="s">
        <v>69</v>
      </c>
      <c r="D19" s="28">
        <v>0</v>
      </c>
      <c r="E19" s="29" t="s">
        <v>70</v>
      </c>
      <c r="G19" s="24"/>
    </row>
    <row r="20" spans="1:7" ht="12.75">
      <c r="A20" s="3" t="s">
        <v>71</v>
      </c>
      <c r="D20" s="28">
        <v>34.6</v>
      </c>
      <c r="E20" s="30" t="s">
        <v>72</v>
      </c>
      <c r="G20" s="24"/>
    </row>
    <row r="21" spans="1:7" ht="12.75">
      <c r="A21" s="3" t="s">
        <v>73</v>
      </c>
      <c r="D21" s="28">
        <v>1</v>
      </c>
      <c r="E21" s="29" t="s">
        <v>74</v>
      </c>
      <c r="G21" s="24"/>
    </row>
    <row r="22" spans="1:7" ht="12.75">
      <c r="A22" s="25" t="s">
        <v>75</v>
      </c>
      <c r="D22" s="28">
        <v>0</v>
      </c>
      <c r="E22" s="29" t="s">
        <v>64</v>
      </c>
      <c r="G22" s="24"/>
    </row>
    <row r="23" spans="1:7" ht="12.75">
      <c r="A23" s="25" t="s">
        <v>76</v>
      </c>
      <c r="D23" s="28">
        <v>0</v>
      </c>
      <c r="E23" s="29" t="s">
        <v>64</v>
      </c>
      <c r="G23" s="24"/>
    </row>
    <row r="24" spans="1:7" ht="12.75">
      <c r="A24" s="25" t="s">
        <v>77</v>
      </c>
      <c r="D24" s="28">
        <v>0</v>
      </c>
      <c r="E24" s="29" t="s">
        <v>64</v>
      </c>
      <c r="G24" s="24"/>
    </row>
    <row r="25" spans="1:7" ht="12.75">
      <c r="A25" s="25" t="s">
        <v>78</v>
      </c>
      <c r="D25" s="28">
        <v>0</v>
      </c>
      <c r="E25" s="29" t="s">
        <v>64</v>
      </c>
      <c r="G25" s="24"/>
    </row>
    <row r="26" spans="1:7" ht="12.75">
      <c r="A26" s="3" t="s">
        <v>79</v>
      </c>
      <c r="D26" s="31">
        <f>INDEX(D31:D36,D21,1)</f>
        <v>2.4867902000000006</v>
      </c>
      <c r="E26" s="29" t="s">
        <v>80</v>
      </c>
      <c r="F26" s="186" t="s">
        <v>5</v>
      </c>
      <c r="G26" s="24"/>
    </row>
    <row r="28" spans="1:5" ht="12.75">
      <c r="A28" s="33"/>
      <c r="B28" s="34" t="s">
        <v>81</v>
      </c>
      <c r="C28" s="35" t="s">
        <v>82</v>
      </c>
      <c r="D28" s="35" t="s">
        <v>83</v>
      </c>
      <c r="E28" s="2"/>
    </row>
    <row r="29" spans="1:5" ht="12.75">
      <c r="A29" s="33"/>
      <c r="B29" s="36" t="s">
        <v>84</v>
      </c>
      <c r="C29" s="37" t="s">
        <v>84</v>
      </c>
      <c r="D29" s="37" t="s">
        <v>84</v>
      </c>
      <c r="E29" s="2"/>
    </row>
    <row r="30" spans="1:5" ht="12.75">
      <c r="A30" s="34" t="s">
        <v>85</v>
      </c>
      <c r="B30" s="37" t="s">
        <v>86</v>
      </c>
      <c r="C30" s="37" t="s">
        <v>86</v>
      </c>
      <c r="D30" s="37" t="s">
        <v>86</v>
      </c>
      <c r="E30" s="2"/>
    </row>
    <row r="31" spans="1:5" ht="12.75">
      <c r="A31" s="38">
        <v>1</v>
      </c>
      <c r="B31" s="39">
        <f>(14171.7+0.982+748.355)*10^-4</f>
        <v>1.4921037000000001</v>
      </c>
      <c r="C31" s="39">
        <f>(8483.62+323.495+1139.75)*10^-4</f>
        <v>0.9946865000000003</v>
      </c>
      <c r="D31" s="39">
        <f aca="true" t="shared" si="0" ref="D31:D36">B31+C31</f>
        <v>2.4867902000000006</v>
      </c>
      <c r="E31" s="3" t="s">
        <v>87</v>
      </c>
    </row>
    <row r="32" spans="1:5" ht="12.75">
      <c r="A32" s="38">
        <v>2</v>
      </c>
      <c r="B32" s="39">
        <f>(6807.46+0.971+190.993)*10^-4</f>
        <v>0.6999424000000001</v>
      </c>
      <c r="C32" s="39">
        <f>(5788.96+302.83)*10^-4</f>
        <v>0.609179</v>
      </c>
      <c r="D32" s="39">
        <f t="shared" si="0"/>
        <v>1.3091214</v>
      </c>
      <c r="E32" s="3" t="s">
        <v>87</v>
      </c>
    </row>
    <row r="33" spans="1:5" ht="12.75">
      <c r="A33" s="38">
        <v>3</v>
      </c>
      <c r="B33" s="39">
        <f>(62.177+0.26+154.327)*10^-4</f>
        <v>0.021676400000000002</v>
      </c>
      <c r="C33" s="39">
        <f>(166.743+9.719+496.834+0.099)*10^-4</f>
        <v>0.06733950000000001</v>
      </c>
      <c r="D33" s="39">
        <f t="shared" si="0"/>
        <v>0.08901590000000001</v>
      </c>
      <c r="E33" s="3" t="s">
        <v>87</v>
      </c>
    </row>
    <row r="34" spans="1:5" ht="12.75">
      <c r="A34" s="38">
        <v>4</v>
      </c>
      <c r="B34" s="39">
        <f>(44784.9+1.215+303.513)*10^-4</f>
        <v>4.5089628</v>
      </c>
      <c r="C34" s="39">
        <f>(20399.1+0.001+920.142)*10^-4</f>
        <v>2.1319243</v>
      </c>
      <c r="D34" s="39">
        <f t="shared" si="0"/>
        <v>6.6408871000000005</v>
      </c>
      <c r="E34" s="3" t="s">
        <v>87</v>
      </c>
    </row>
    <row r="35" spans="1:5" ht="12.75">
      <c r="A35" s="38">
        <v>5</v>
      </c>
      <c r="B35" s="39">
        <f>(8293.5+0.509+334.359)*10^-4</f>
        <v>0.8628368000000001</v>
      </c>
      <c r="C35" s="39">
        <f>(17547.3+29.052+1847.85)*10^-4</f>
        <v>1.9424202</v>
      </c>
      <c r="D35" s="39">
        <f t="shared" si="0"/>
        <v>2.805257</v>
      </c>
      <c r="E35" s="3" t="s">
        <v>87</v>
      </c>
    </row>
    <row r="36" spans="1:5" ht="12.75">
      <c r="A36" s="38">
        <v>6</v>
      </c>
      <c r="B36" s="39">
        <f>(16839.2+0.084+239.978)*10^-4</f>
        <v>1.7079262</v>
      </c>
      <c r="C36" s="39">
        <f>(24890.2+115.139+0.234)*10^-4</f>
        <v>2.5005573</v>
      </c>
      <c r="D36" s="39">
        <f t="shared" si="0"/>
        <v>4.2084835</v>
      </c>
      <c r="E36" s="3" t="s">
        <v>87</v>
      </c>
    </row>
    <row r="38" ht="12.75">
      <c r="A38" s="3" t="s">
        <v>88</v>
      </c>
    </row>
    <row r="39" ht="12.75">
      <c r="A39" s="25" t="s">
        <v>89</v>
      </c>
    </row>
    <row r="40" ht="12.75">
      <c r="A40" s="25" t="s">
        <v>90</v>
      </c>
    </row>
    <row r="41" ht="12.75">
      <c r="A41" s="25" t="s">
        <v>91</v>
      </c>
    </row>
    <row r="42" ht="12.75">
      <c r="A42" s="25" t="s">
        <v>92</v>
      </c>
    </row>
    <row r="43" ht="12.75">
      <c r="A43" s="25" t="s">
        <v>93</v>
      </c>
    </row>
    <row r="44" ht="12.75">
      <c r="A44" s="25"/>
    </row>
    <row r="46" spans="1:8" ht="15.75">
      <c r="A46" s="4" t="s">
        <v>5</v>
      </c>
      <c r="B46" s="2"/>
      <c r="C46" s="2"/>
      <c r="D46" s="179" t="s">
        <v>5</v>
      </c>
      <c r="E46" s="2"/>
      <c r="F46" s="5"/>
      <c r="G46" s="2"/>
      <c r="H46" s="2"/>
    </row>
    <row r="47" spans="1:8" ht="15.75">
      <c r="A47" s="4" t="s">
        <v>101</v>
      </c>
      <c r="B47" s="2"/>
      <c r="C47" s="2"/>
      <c r="D47" s="2"/>
      <c r="E47" s="2"/>
      <c r="F47" s="5"/>
      <c r="G47" s="2"/>
      <c r="H47" s="2"/>
    </row>
    <row r="48" spans="1:8" ht="15.75">
      <c r="A48" s="4"/>
      <c r="B48" s="2"/>
      <c r="C48" s="2"/>
      <c r="D48" s="2"/>
      <c r="E48" s="2"/>
      <c r="F48" s="5"/>
      <c r="G48" s="2"/>
      <c r="H48" s="2"/>
    </row>
    <row r="49" ht="12.75">
      <c r="A49" s="49" t="s">
        <v>178</v>
      </c>
    </row>
    <row r="50" spans="2:5" ht="12.75">
      <c r="B50" s="18" t="s">
        <v>126</v>
      </c>
      <c r="C50" s="76" t="s">
        <v>127</v>
      </c>
      <c r="D50" s="76" t="s">
        <v>129</v>
      </c>
      <c r="E50" s="77" t="s">
        <v>128</v>
      </c>
    </row>
    <row r="51" spans="1:5" ht="12.75">
      <c r="A51" s="3" t="s">
        <v>102</v>
      </c>
      <c r="C51" s="50">
        <f>D16</f>
        <v>0</v>
      </c>
      <c r="E51" s="50" t="s">
        <v>64</v>
      </c>
    </row>
    <row r="52" spans="1:5" ht="12.75">
      <c r="A52" s="3" t="s">
        <v>103</v>
      </c>
      <c r="C52" s="50">
        <f>(C51*0.0097)</f>
        <v>0</v>
      </c>
      <c r="D52" s="50">
        <f>C52*(1-0.8)</f>
        <v>0</v>
      </c>
      <c r="E52" s="25" t="s">
        <v>104</v>
      </c>
    </row>
    <row r="53" spans="1:5" ht="12.75">
      <c r="A53" s="3" t="s">
        <v>105</v>
      </c>
      <c r="C53" s="51">
        <f>SUM(C52:C52)</f>
        <v>0</v>
      </c>
      <c r="D53" s="50">
        <f>C53*(1-0.8)</f>
        <v>0</v>
      </c>
      <c r="E53" s="25" t="s">
        <v>104</v>
      </c>
    </row>
    <row r="55" spans="1:3" ht="12.75">
      <c r="A55" s="180" t="s">
        <v>179</v>
      </c>
      <c r="B55" s="32"/>
      <c r="C55" s="32"/>
    </row>
    <row r="56" spans="1:3" ht="12.75">
      <c r="A56" s="33"/>
      <c r="B56" s="32"/>
      <c r="C56" s="32"/>
    </row>
    <row r="57" spans="1:4" ht="12.75">
      <c r="A57" s="78" t="s">
        <v>106</v>
      </c>
      <c r="B57" s="78" t="s">
        <v>180</v>
      </c>
      <c r="C57" s="79">
        <v>0.7</v>
      </c>
      <c r="D57" s="75" t="s">
        <v>130</v>
      </c>
    </row>
    <row r="58" spans="1:3" ht="12.75">
      <c r="A58" s="25" t="s">
        <v>107</v>
      </c>
      <c r="B58" s="32"/>
      <c r="C58" s="32"/>
    </row>
    <row r="59" spans="1:3" ht="12.75">
      <c r="A59" s="25"/>
      <c r="B59" s="32" t="s">
        <v>108</v>
      </c>
      <c r="C59" s="32" t="s">
        <v>109</v>
      </c>
    </row>
    <row r="60" spans="1:4" ht="14.25">
      <c r="A60" s="3" t="s">
        <v>110</v>
      </c>
      <c r="B60" s="52">
        <v>0.0941</v>
      </c>
      <c r="C60" s="32">
        <v>0.138</v>
      </c>
      <c r="D60" s="53" t="s">
        <v>119</v>
      </c>
    </row>
    <row r="61" spans="1:4" ht="14.25">
      <c r="A61" s="3" t="s">
        <v>111</v>
      </c>
      <c r="B61" s="52">
        <v>0.0126</v>
      </c>
      <c r="C61" s="32">
        <v>0.018</v>
      </c>
      <c r="D61" s="53" t="s">
        <v>119</v>
      </c>
    </row>
    <row r="62" spans="1:4" ht="14.25">
      <c r="A62" s="3" t="s">
        <v>112</v>
      </c>
      <c r="B62" s="52">
        <v>0.0058</v>
      </c>
      <c r="C62" s="32">
        <v>0.0087</v>
      </c>
      <c r="D62" s="53" t="s">
        <v>119</v>
      </c>
    </row>
    <row r="63" spans="2:3" ht="12.75">
      <c r="B63" s="32"/>
      <c r="C63" s="32"/>
    </row>
    <row r="64" spans="2:3" ht="12.75">
      <c r="B64" s="32"/>
      <c r="C64" s="36" t="s">
        <v>113</v>
      </c>
    </row>
    <row r="65" spans="1:9" ht="15" thickBot="1">
      <c r="A65" s="20" t="s">
        <v>114</v>
      </c>
      <c r="B65" s="54" t="s">
        <v>115</v>
      </c>
      <c r="C65" s="54" t="s">
        <v>120</v>
      </c>
      <c r="D65" s="54" t="s">
        <v>110</v>
      </c>
      <c r="E65" s="54" t="s">
        <v>111</v>
      </c>
      <c r="F65" s="54" t="s">
        <v>112</v>
      </c>
      <c r="G65" s="24"/>
      <c r="H65" s="24"/>
      <c r="I65" s="24"/>
    </row>
    <row r="66" spans="1:6" ht="14.25">
      <c r="A66" s="55" t="s">
        <v>121</v>
      </c>
      <c r="B66" s="56">
        <v>1</v>
      </c>
      <c r="C66" s="57">
        <v>95</v>
      </c>
      <c r="D66" s="58">
        <f>IF(AND($D$20&gt;1,$D$20&lt;30),($B$60*$C66)*(1-0.7),($C$60*$C66)*(1-0.7))</f>
        <v>3.933000000000001</v>
      </c>
      <c r="E66" s="59"/>
      <c r="F66" s="60"/>
    </row>
    <row r="67" spans="1:6" ht="12.75">
      <c r="A67" s="61"/>
      <c r="B67" s="62"/>
      <c r="C67" s="63"/>
      <c r="D67" s="47"/>
      <c r="E67" s="58">
        <f>IF(AND(D20&gt;1,D20&lt;30),($B$61*C67),($C$61*C67))</f>
        <v>0</v>
      </c>
      <c r="F67" s="14"/>
    </row>
    <row r="68" spans="1:6" ht="13.5" thickBot="1">
      <c r="A68" s="64"/>
      <c r="B68" s="65"/>
      <c r="C68" s="66"/>
      <c r="D68" s="67"/>
      <c r="E68" s="67"/>
      <c r="F68" s="68">
        <f>IF(AND($D$20&gt;1,$D$20&lt;30),($B$62*$C68),($C$62*$C68))</f>
        <v>0</v>
      </c>
    </row>
    <row r="69" spans="1:6" ht="12.75">
      <c r="A69" s="69" t="s">
        <v>116</v>
      </c>
      <c r="B69" s="70"/>
      <c r="C69" s="70"/>
      <c r="D69" s="47">
        <f>SUM(D66:D68)</f>
        <v>3.933000000000001</v>
      </c>
      <c r="E69" s="47">
        <f>SUM(E66:E68)</f>
        <v>0</v>
      </c>
      <c r="F69" s="47">
        <f>SUM(F66:F68)</f>
        <v>0</v>
      </c>
    </row>
    <row r="70" spans="1:3" ht="12.75">
      <c r="A70" s="25" t="s">
        <v>122</v>
      </c>
      <c r="B70" s="32"/>
      <c r="C70" s="32"/>
    </row>
    <row r="71" spans="2:3" ht="12.75">
      <c r="B71" s="32"/>
      <c r="C71" s="32"/>
    </row>
    <row r="75" spans="1:5" ht="12.75">
      <c r="A75" s="40" t="s">
        <v>94</v>
      </c>
      <c r="B75" s="2"/>
      <c r="C75" s="2"/>
      <c r="D75" s="2"/>
      <c r="E75" s="2"/>
    </row>
    <row r="76" spans="1:5" ht="14.25">
      <c r="A76" s="40" t="s">
        <v>117</v>
      </c>
      <c r="B76" s="2"/>
      <c r="C76" s="2"/>
      <c r="D76" s="2"/>
      <c r="E76" s="2"/>
    </row>
    <row r="77" spans="1:5" ht="12.75">
      <c r="A77" s="40"/>
      <c r="B77" s="2"/>
      <c r="C77" s="2"/>
      <c r="D77" s="2"/>
      <c r="E77" s="2"/>
    </row>
    <row r="78" spans="1:5" ht="12.75">
      <c r="A78" s="40"/>
      <c r="B78" s="2"/>
      <c r="C78" s="2"/>
      <c r="D78" s="2"/>
      <c r="E78" s="2"/>
    </row>
    <row r="79" spans="1:5" ht="12.75">
      <c r="A79" s="41"/>
      <c r="B79" s="41"/>
      <c r="C79" s="42" t="s">
        <v>95</v>
      </c>
      <c r="D79" s="32" t="s">
        <v>38</v>
      </c>
      <c r="E79" s="43" t="s">
        <v>96</v>
      </c>
    </row>
    <row r="80" spans="1:5" ht="14.25">
      <c r="A80" s="187" t="s">
        <v>118</v>
      </c>
      <c r="B80" s="44"/>
      <c r="C80" s="45">
        <f>(D16*D26)*(1-0.8)/24</f>
        <v>0</v>
      </c>
      <c r="D80" s="45">
        <f>C80*24</f>
        <v>0</v>
      </c>
      <c r="E80" s="46">
        <f>C80*8760/2000</f>
        <v>0</v>
      </c>
    </row>
    <row r="81" spans="1:5" ht="14.25">
      <c r="A81" s="175" t="s">
        <v>176</v>
      </c>
      <c r="B81" s="24"/>
      <c r="C81" s="47">
        <f>D81/24</f>
        <v>0.16387500000000005</v>
      </c>
      <c r="D81" s="47">
        <f>D69</f>
        <v>3.933000000000001</v>
      </c>
      <c r="E81" s="48">
        <f>D81*365/2000</f>
        <v>0.7177725000000003</v>
      </c>
    </row>
    <row r="82" spans="1:5" ht="14.25">
      <c r="A82" s="175" t="s">
        <v>177</v>
      </c>
      <c r="B82" s="24"/>
      <c r="C82" s="47">
        <v>0</v>
      </c>
      <c r="D82" s="47">
        <f>C82*24</f>
        <v>0</v>
      </c>
      <c r="E82" s="48">
        <f>C82*8760/2000</f>
        <v>0</v>
      </c>
    </row>
    <row r="83" spans="1:5" ht="12.75">
      <c r="A83" s="176" t="s">
        <v>97</v>
      </c>
      <c r="B83" s="41"/>
      <c r="C83" s="177">
        <f>SUM(C80:C82)</f>
        <v>0.16387500000000005</v>
      </c>
      <c r="D83" s="177">
        <f>SUM(D80:D82)</f>
        <v>3.933000000000001</v>
      </c>
      <c r="E83" s="178">
        <f>SUM(E80:E82)</f>
        <v>0.7177725000000003</v>
      </c>
    </row>
    <row r="85" ht="12.75">
      <c r="C85" s="3" t="s">
        <v>98</v>
      </c>
    </row>
    <row r="86" ht="12.75">
      <c r="C86" s="25" t="s">
        <v>99</v>
      </c>
    </row>
    <row r="87" ht="12.75">
      <c r="C87" s="3" t="s">
        <v>100</v>
      </c>
    </row>
  </sheetData>
  <sheetProtection/>
  <printOptions/>
  <pageMargins left="1" right="0.99" top="1" bottom="1" header="0.5" footer="0.5"/>
  <pageSetup fitToHeight="2" fitToWidth="1" horizontalDpi="300" verticalDpi="300" orientation="portrait" scale="72" r:id="rId1"/>
  <rowBreaks count="1" manualBreakCount="1">
    <brk id="64" max="6" man="1"/>
  </rowBreaks>
</worksheet>
</file>

<file path=xl/worksheets/sheet11.xml><?xml version="1.0" encoding="utf-8"?>
<worksheet xmlns="http://schemas.openxmlformats.org/spreadsheetml/2006/main" xmlns:r="http://schemas.openxmlformats.org/officeDocument/2006/relationships">
  <dimension ref="B6:C18"/>
  <sheetViews>
    <sheetView zoomScalePageLayoutView="0" workbookViewId="0" topLeftCell="A1">
      <selection activeCell="B32" sqref="B32"/>
    </sheetView>
  </sheetViews>
  <sheetFormatPr defaultColWidth="9.00390625" defaultRowHeight="12.75"/>
  <cols>
    <col min="2" max="2" width="16.00390625" style="0" bestFit="1" customWidth="1"/>
    <col min="3" max="3" width="140.875" style="0" bestFit="1" customWidth="1"/>
  </cols>
  <sheetData>
    <row r="6" spans="2:3" ht="12">
      <c r="B6" t="s">
        <v>151</v>
      </c>
      <c r="C6" t="s">
        <v>164</v>
      </c>
    </row>
    <row r="7" spans="2:3" ht="12">
      <c r="B7" t="s">
        <v>152</v>
      </c>
      <c r="C7" t="s">
        <v>165</v>
      </c>
    </row>
    <row r="8" spans="2:3" ht="12">
      <c r="B8" t="s">
        <v>153</v>
      </c>
      <c r="C8" t="s">
        <v>137</v>
      </c>
    </row>
    <row r="9" spans="2:3" ht="12">
      <c r="B9" t="s">
        <v>166</v>
      </c>
      <c r="C9" t="s">
        <v>167</v>
      </c>
    </row>
    <row r="10" spans="2:3" ht="12">
      <c r="B10" t="s">
        <v>138</v>
      </c>
      <c r="C10" t="s">
        <v>168</v>
      </c>
    </row>
    <row r="11" spans="2:3" ht="12">
      <c r="B11" t="s">
        <v>139</v>
      </c>
      <c r="C11" t="s">
        <v>169</v>
      </c>
    </row>
    <row r="12" spans="2:3" ht="12">
      <c r="B12" t="s">
        <v>140</v>
      </c>
      <c r="C12" t="s">
        <v>136</v>
      </c>
    </row>
    <row r="13" spans="2:3" ht="12">
      <c r="B13" t="s">
        <v>141</v>
      </c>
      <c r="C13" t="s">
        <v>154</v>
      </c>
    </row>
    <row r="14" spans="2:3" ht="12">
      <c r="B14" t="s">
        <v>142</v>
      </c>
      <c r="C14" t="s">
        <v>135</v>
      </c>
    </row>
    <row r="15" spans="2:3" ht="12">
      <c r="B15" t="s">
        <v>143</v>
      </c>
      <c r="C15" t="s">
        <v>134</v>
      </c>
    </row>
    <row r="16" spans="2:3" ht="12">
      <c r="B16" t="s">
        <v>170</v>
      </c>
      <c r="C16" t="s">
        <v>171</v>
      </c>
    </row>
    <row r="17" spans="2:3" ht="12">
      <c r="B17" t="s">
        <v>144</v>
      </c>
      <c r="C17" t="s">
        <v>145</v>
      </c>
    </row>
    <row r="18" spans="2:3" ht="12">
      <c r="B18" t="s">
        <v>146</v>
      </c>
      <c r="C18" t="s">
        <v>147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dimension ref="B1:S44"/>
  <sheetViews>
    <sheetView showGridLines="0" zoomScale="75" zoomScaleNormal="75" zoomScalePageLayoutView="0" workbookViewId="0" topLeftCell="A1">
      <selection activeCell="A1" sqref="A1:O20"/>
    </sheetView>
  </sheetViews>
  <sheetFormatPr defaultColWidth="9.625" defaultRowHeight="12.75"/>
  <cols>
    <col min="1" max="1" width="2.50390625" style="82" customWidth="1"/>
    <col min="2" max="2" width="21.50390625" style="82" customWidth="1"/>
    <col min="3" max="3" width="24.75390625" style="82" customWidth="1"/>
    <col min="4" max="4" width="17.375" style="82" customWidth="1"/>
    <col min="5" max="5" width="9.625" style="118" customWidth="1"/>
    <col min="6" max="6" width="9.625" style="198" customWidth="1"/>
    <col min="7" max="7" width="8.625" style="118" customWidth="1"/>
    <col min="8" max="8" width="8.625" style="82" customWidth="1"/>
    <col min="9" max="10" width="6.625" style="118" customWidth="1"/>
    <col min="11" max="11" width="3.625" style="82" customWidth="1"/>
    <col min="12" max="12" width="13.00390625" style="82" bestFit="1" customWidth="1"/>
    <col min="13" max="13" width="11.75390625" style="84" customWidth="1"/>
    <col min="14" max="14" width="2.50390625" style="82" customWidth="1"/>
    <col min="15" max="16" width="6.625" style="82" customWidth="1"/>
    <col min="17" max="17" width="10.625" style="82" customWidth="1"/>
    <col min="18" max="16384" width="9.625" style="82" customWidth="1"/>
  </cols>
  <sheetData>
    <row r="1" spans="2:6" ht="14.25">
      <c r="B1" s="83"/>
      <c r="F1" s="197"/>
    </row>
    <row r="2" spans="2:13" ht="15">
      <c r="B2" s="320" t="s">
        <v>25</v>
      </c>
      <c r="C2" s="320"/>
      <c r="D2" s="320"/>
      <c r="E2" s="320"/>
      <c r="F2" s="320"/>
      <c r="G2" s="320"/>
      <c r="H2" s="320"/>
      <c r="I2" s="320"/>
      <c r="J2" s="320"/>
      <c r="K2" s="320"/>
      <c r="L2" s="320"/>
      <c r="M2" s="320"/>
    </row>
    <row r="3" spans="2:13" ht="15">
      <c r="B3" s="320" t="str">
        <f>Data!B3</f>
        <v>Beachfront Lease PT70-APCD PTO 8103 R10</v>
      </c>
      <c r="C3" s="320"/>
      <c r="D3" s="320"/>
      <c r="E3" s="320"/>
      <c r="F3" s="320"/>
      <c r="G3" s="320"/>
      <c r="H3" s="320"/>
      <c r="I3" s="320"/>
      <c r="J3" s="320"/>
      <c r="K3" s="320"/>
      <c r="L3" s="320"/>
      <c r="M3" s="320"/>
    </row>
    <row r="4" spans="2:13" ht="15">
      <c r="B4" s="320" t="s">
        <v>26</v>
      </c>
      <c r="C4" s="320"/>
      <c r="D4" s="320"/>
      <c r="E4" s="320"/>
      <c r="F4" s="320"/>
      <c r="G4" s="320"/>
      <c r="H4" s="320"/>
      <c r="I4" s="320"/>
      <c r="J4" s="320"/>
      <c r="K4" s="320"/>
      <c r="L4" s="320"/>
      <c r="M4" s="320"/>
    </row>
    <row r="5" ht="15.75" thickBot="1">
      <c r="B5" s="90"/>
    </row>
    <row r="6" spans="2:16" ht="12.75" customHeight="1">
      <c r="B6" s="91"/>
      <c r="C6" s="92"/>
      <c r="D6" s="93" t="s">
        <v>192</v>
      </c>
      <c r="E6" s="119" t="s">
        <v>27</v>
      </c>
      <c r="F6" s="199"/>
      <c r="G6" s="120"/>
      <c r="H6" s="97"/>
      <c r="I6" s="119"/>
      <c r="J6" s="119"/>
      <c r="K6" s="92"/>
      <c r="L6" s="92"/>
      <c r="M6" s="121"/>
      <c r="N6" s="89"/>
      <c r="O6" s="89"/>
      <c r="P6" s="89"/>
    </row>
    <row r="7" spans="2:13" ht="18" customHeight="1" thickBot="1">
      <c r="B7" s="101" t="s">
        <v>6</v>
      </c>
      <c r="C7" s="102" t="s">
        <v>7</v>
      </c>
      <c r="D7" s="103" t="s">
        <v>183</v>
      </c>
      <c r="E7" s="122" t="s">
        <v>28</v>
      </c>
      <c r="F7" s="200" t="s">
        <v>29</v>
      </c>
      <c r="G7" s="122" t="s">
        <v>30</v>
      </c>
      <c r="H7" s="103" t="s">
        <v>31</v>
      </c>
      <c r="I7" s="122" t="s">
        <v>32</v>
      </c>
      <c r="J7" s="122" t="s">
        <v>33</v>
      </c>
      <c r="K7" s="123"/>
      <c r="L7" s="103" t="s">
        <v>11</v>
      </c>
      <c r="M7" s="107" t="s">
        <v>34</v>
      </c>
    </row>
    <row r="8" ht="19.5" customHeight="1">
      <c r="D8" s="84" t="s">
        <v>5</v>
      </c>
    </row>
    <row r="9" spans="2:12" ht="19.5" customHeight="1">
      <c r="B9" s="112" t="s">
        <v>194</v>
      </c>
      <c r="C9" s="112" t="s">
        <v>186</v>
      </c>
      <c r="D9" s="84"/>
      <c r="E9" s="111" t="s">
        <v>19</v>
      </c>
      <c r="F9" s="198">
        <v>0.01829</v>
      </c>
      <c r="G9" s="111" t="s">
        <v>19</v>
      </c>
      <c r="H9" s="111" t="s">
        <v>19</v>
      </c>
      <c r="I9" s="111" t="s">
        <v>19</v>
      </c>
      <c r="J9" s="111" t="s">
        <v>19</v>
      </c>
      <c r="L9" s="114" t="s">
        <v>190</v>
      </c>
    </row>
    <row r="10" spans="3:12" ht="19.5" customHeight="1">
      <c r="C10" s="112" t="s">
        <v>187</v>
      </c>
      <c r="D10" s="84"/>
      <c r="E10" s="111" t="s">
        <v>19</v>
      </c>
      <c r="F10" s="198">
        <v>0.00434</v>
      </c>
      <c r="G10" s="111" t="s">
        <v>19</v>
      </c>
      <c r="H10" s="111" t="s">
        <v>19</v>
      </c>
      <c r="I10" s="111" t="s">
        <v>19</v>
      </c>
      <c r="J10" s="111" t="s">
        <v>19</v>
      </c>
      <c r="L10" s="114" t="s">
        <v>190</v>
      </c>
    </row>
    <row r="11" spans="2:19" ht="19.5" customHeight="1">
      <c r="B11" s="112" t="s">
        <v>195</v>
      </c>
      <c r="C11" s="112" t="s">
        <v>186</v>
      </c>
      <c r="D11" s="194">
        <v>106451</v>
      </c>
      <c r="E11" s="111" t="s">
        <v>19</v>
      </c>
      <c r="F11" s="201">
        <v>0.000459</v>
      </c>
      <c r="G11" s="111" t="s">
        <v>19</v>
      </c>
      <c r="H11" s="111" t="s">
        <v>19</v>
      </c>
      <c r="I11" s="111" t="s">
        <v>19</v>
      </c>
      <c r="J11" s="111" t="s">
        <v>19</v>
      </c>
      <c r="K11" s="89"/>
      <c r="L11" s="114" t="s">
        <v>190</v>
      </c>
      <c r="M11" s="84" t="s">
        <v>175</v>
      </c>
      <c r="N11" s="110"/>
      <c r="O11" s="110"/>
      <c r="P11" s="110"/>
      <c r="Q11" s="117"/>
      <c r="R11" s="89"/>
      <c r="S11" s="89"/>
    </row>
    <row r="12" spans="3:19" ht="19.5" customHeight="1">
      <c r="C12" s="112" t="s">
        <v>193</v>
      </c>
      <c r="D12" s="194"/>
      <c r="E12" s="111" t="s">
        <v>19</v>
      </c>
      <c r="F12" s="201">
        <v>0.002296</v>
      </c>
      <c r="G12" s="111" t="s">
        <v>19</v>
      </c>
      <c r="H12" s="111" t="s">
        <v>19</v>
      </c>
      <c r="I12" s="111" t="s">
        <v>19</v>
      </c>
      <c r="J12" s="111" t="s">
        <v>19</v>
      </c>
      <c r="K12" s="89"/>
      <c r="L12" s="114" t="s">
        <v>190</v>
      </c>
      <c r="N12" s="110"/>
      <c r="O12" s="110"/>
      <c r="P12" s="110"/>
      <c r="Q12" s="117"/>
      <c r="R12" s="89"/>
      <c r="S12" s="89"/>
    </row>
    <row r="13" spans="2:19" ht="19.5" customHeight="1">
      <c r="B13" s="196"/>
      <c r="C13" s="112" t="s">
        <v>187</v>
      </c>
      <c r="D13" s="194">
        <v>106452</v>
      </c>
      <c r="E13" s="111" t="s">
        <v>19</v>
      </c>
      <c r="F13" s="201">
        <v>0.000224</v>
      </c>
      <c r="G13" s="111" t="s">
        <v>19</v>
      </c>
      <c r="H13" s="111" t="s">
        <v>19</v>
      </c>
      <c r="I13" s="111" t="s">
        <v>19</v>
      </c>
      <c r="J13" s="111" t="s">
        <v>19</v>
      </c>
      <c r="K13" s="89"/>
      <c r="L13" s="114" t="s">
        <v>190</v>
      </c>
      <c r="N13" s="110"/>
      <c r="O13" s="110"/>
      <c r="P13" s="110"/>
      <c r="Q13" s="117"/>
      <c r="R13" s="89"/>
      <c r="S13" s="89"/>
    </row>
    <row r="14" spans="2:19" ht="19.5" customHeight="1">
      <c r="B14" s="112"/>
      <c r="C14" s="112" t="s">
        <v>188</v>
      </c>
      <c r="D14" s="194">
        <v>106453</v>
      </c>
      <c r="E14" s="111" t="s">
        <v>19</v>
      </c>
      <c r="F14" s="201">
        <v>0.001</v>
      </c>
      <c r="G14" s="111" t="s">
        <v>19</v>
      </c>
      <c r="H14" s="111" t="s">
        <v>19</v>
      </c>
      <c r="I14" s="111" t="s">
        <v>19</v>
      </c>
      <c r="J14" s="111" t="s">
        <v>19</v>
      </c>
      <c r="K14" s="89"/>
      <c r="L14" s="114" t="s">
        <v>190</v>
      </c>
      <c r="N14" s="110"/>
      <c r="O14" s="110"/>
      <c r="P14" s="110"/>
      <c r="Q14" s="117"/>
      <c r="R14" s="89"/>
      <c r="S14" s="89"/>
    </row>
    <row r="15" spans="2:19" ht="19.5" customHeight="1">
      <c r="B15" s="89"/>
      <c r="C15" s="89"/>
      <c r="D15" s="194"/>
      <c r="E15" s="111"/>
      <c r="F15" s="201"/>
      <c r="G15" s="111"/>
      <c r="H15" s="111"/>
      <c r="I15" s="111"/>
      <c r="J15" s="111"/>
      <c r="K15" s="89"/>
      <c r="L15" s="114"/>
      <c r="M15" s="111"/>
      <c r="N15" s="110"/>
      <c r="O15" s="110"/>
      <c r="P15" s="110"/>
      <c r="Q15" s="117"/>
      <c r="R15" s="89"/>
      <c r="S15" s="89"/>
    </row>
    <row r="16" spans="2:19" ht="19.5" customHeight="1">
      <c r="B16" s="112" t="s">
        <v>131</v>
      </c>
      <c r="C16" s="112" t="s">
        <v>49</v>
      </c>
      <c r="D16" s="194">
        <v>100195</v>
      </c>
      <c r="E16" s="111" t="s">
        <v>19</v>
      </c>
      <c r="F16" s="201">
        <f>'FHC CALC KVB'!C60*(1-'FHC CALC KVB'!C57)</f>
        <v>0.041400000000000006</v>
      </c>
      <c r="G16" s="111" t="s">
        <v>19</v>
      </c>
      <c r="H16" s="111" t="s">
        <v>19</v>
      </c>
      <c r="I16" s="111" t="s">
        <v>19</v>
      </c>
      <c r="J16" s="111" t="s">
        <v>19</v>
      </c>
      <c r="K16" s="89"/>
      <c r="L16" s="114" t="s">
        <v>125</v>
      </c>
      <c r="M16" s="84" t="s">
        <v>24</v>
      </c>
      <c r="N16" s="110"/>
      <c r="O16" s="110"/>
      <c r="P16" s="110"/>
      <c r="Q16" s="117"/>
      <c r="R16" s="89"/>
      <c r="S16" s="89"/>
    </row>
    <row r="17" spans="2:19" ht="19.5" customHeight="1">
      <c r="B17" s="89"/>
      <c r="C17" s="88"/>
      <c r="D17" s="195"/>
      <c r="E17" s="111"/>
      <c r="F17" s="201"/>
      <c r="G17" s="111"/>
      <c r="H17" s="111"/>
      <c r="I17" s="111"/>
      <c r="J17" s="111"/>
      <c r="K17" s="89"/>
      <c r="L17" s="112"/>
      <c r="M17" s="108"/>
      <c r="N17" s="89"/>
      <c r="O17" s="89"/>
      <c r="P17" s="89"/>
      <c r="Q17" s="89"/>
      <c r="R17" s="89"/>
      <c r="S17" s="89"/>
    </row>
    <row r="18" spans="2:19" ht="19.5" customHeight="1">
      <c r="B18" s="89" t="s">
        <v>22</v>
      </c>
      <c r="C18" s="89" t="s">
        <v>182</v>
      </c>
      <c r="D18" s="195">
        <v>106334</v>
      </c>
      <c r="E18" s="111" t="s">
        <v>19</v>
      </c>
      <c r="F18" s="194">
        <v>250</v>
      </c>
      <c r="G18" s="111" t="s">
        <v>19</v>
      </c>
      <c r="H18" s="111" t="s">
        <v>19</v>
      </c>
      <c r="I18" s="111" t="s">
        <v>19</v>
      </c>
      <c r="J18" s="111" t="s">
        <v>19</v>
      </c>
      <c r="L18" s="112" t="s">
        <v>52</v>
      </c>
      <c r="M18" s="111" t="s">
        <v>51</v>
      </c>
      <c r="N18" s="117"/>
      <c r="O18" s="117"/>
      <c r="P18" s="117"/>
      <c r="Q18" s="117"/>
      <c r="R18" s="89"/>
      <c r="S18" s="89"/>
    </row>
    <row r="19" spans="2:17" ht="14.25">
      <c r="B19" s="89"/>
      <c r="C19" s="89"/>
      <c r="D19" s="89"/>
      <c r="E19" s="124"/>
      <c r="F19" s="197"/>
      <c r="G19" s="124"/>
      <c r="H19" s="117"/>
      <c r="I19" s="124"/>
      <c r="J19" s="124"/>
      <c r="L19" s="117"/>
      <c r="M19" s="108"/>
      <c r="N19" s="117"/>
      <c r="O19" s="117"/>
      <c r="P19" s="117"/>
      <c r="Q19" s="117"/>
    </row>
    <row r="20" spans="2:17" ht="14.25">
      <c r="B20" s="89"/>
      <c r="C20" s="89"/>
      <c r="D20" s="89"/>
      <c r="E20" s="124"/>
      <c r="F20" s="197"/>
      <c r="G20" s="124"/>
      <c r="H20" s="117"/>
      <c r="I20" s="124"/>
      <c r="J20" s="124"/>
      <c r="L20" s="117"/>
      <c r="M20" s="108"/>
      <c r="N20" s="117"/>
      <c r="O20" s="117"/>
      <c r="P20" s="117"/>
      <c r="Q20" s="117"/>
    </row>
    <row r="21" spans="2:17" ht="14.25">
      <c r="B21" s="89"/>
      <c r="C21" s="89"/>
      <c r="D21" s="89"/>
      <c r="E21" s="124"/>
      <c r="F21" s="197"/>
      <c r="G21" s="124"/>
      <c r="H21" s="117"/>
      <c r="I21" s="124"/>
      <c r="J21" s="124"/>
      <c r="L21" s="117"/>
      <c r="M21" s="108"/>
      <c r="N21" s="117"/>
      <c r="O21" s="117"/>
      <c r="P21" s="117"/>
      <c r="Q21" s="117"/>
    </row>
    <row r="22" spans="5:17" ht="14.25">
      <c r="E22" s="124"/>
      <c r="F22" s="197"/>
      <c r="G22" s="124"/>
      <c r="H22" s="117"/>
      <c r="I22" s="124"/>
      <c r="J22" s="124"/>
      <c r="L22" s="117"/>
      <c r="M22" s="108"/>
      <c r="N22" s="117"/>
      <c r="O22" s="117"/>
      <c r="P22" s="117"/>
      <c r="Q22" s="117"/>
    </row>
    <row r="23" spans="5:17" ht="14.25">
      <c r="E23" s="124"/>
      <c r="F23" s="197"/>
      <c r="G23" s="124"/>
      <c r="H23" s="117"/>
      <c r="I23" s="124"/>
      <c r="J23" s="124"/>
      <c r="L23" s="117"/>
      <c r="M23" s="108"/>
      <c r="N23" s="117"/>
      <c r="O23" s="117"/>
      <c r="P23" s="117"/>
      <c r="Q23" s="117"/>
    </row>
    <row r="24" spans="5:17" ht="14.25">
      <c r="E24" s="124"/>
      <c r="F24" s="197"/>
      <c r="G24" s="124"/>
      <c r="H24" s="117"/>
      <c r="I24" s="124"/>
      <c r="J24" s="124"/>
      <c r="L24" s="117"/>
      <c r="M24" s="108"/>
      <c r="N24" s="117"/>
      <c r="O24" s="117"/>
      <c r="P24" s="117"/>
      <c r="Q24" s="117"/>
    </row>
    <row r="25" spans="5:17" ht="14.25">
      <c r="E25" s="124"/>
      <c r="F25" s="197"/>
      <c r="G25" s="124"/>
      <c r="H25" s="117"/>
      <c r="I25" s="124"/>
      <c r="J25" s="124"/>
      <c r="L25" s="117"/>
      <c r="M25" s="108"/>
      <c r="N25" s="117"/>
      <c r="O25" s="117"/>
      <c r="P25" s="117"/>
      <c r="Q25" s="117"/>
    </row>
    <row r="26" spans="5:17" ht="14.25">
      <c r="E26" s="124"/>
      <c r="F26" s="197"/>
      <c r="G26" s="124"/>
      <c r="H26" s="117"/>
      <c r="I26" s="124"/>
      <c r="J26" s="124"/>
      <c r="L26" s="117"/>
      <c r="M26" s="108"/>
      <c r="N26" s="117"/>
      <c r="O26" s="117"/>
      <c r="P26" s="117"/>
      <c r="Q26" s="117"/>
    </row>
    <row r="27" spans="5:17" ht="14.25">
      <c r="E27" s="124"/>
      <c r="F27" s="197"/>
      <c r="G27" s="124"/>
      <c r="H27" s="117"/>
      <c r="I27" s="124"/>
      <c r="J27" s="124"/>
      <c r="L27" s="117"/>
      <c r="M27" s="108"/>
      <c r="N27" s="117"/>
      <c r="O27" s="117"/>
      <c r="P27" s="117"/>
      <c r="Q27" s="117"/>
    </row>
    <row r="28" spans="5:17" ht="14.25">
      <c r="E28" s="124"/>
      <c r="F28" s="197"/>
      <c r="G28" s="124"/>
      <c r="H28" s="117"/>
      <c r="I28" s="124"/>
      <c r="J28" s="124"/>
      <c r="L28" s="117"/>
      <c r="M28" s="108"/>
      <c r="N28" s="117"/>
      <c r="O28" s="117"/>
      <c r="P28" s="117"/>
      <c r="Q28" s="117"/>
    </row>
    <row r="29" spans="5:17" ht="14.25">
      <c r="E29" s="124"/>
      <c r="F29" s="197"/>
      <c r="G29" s="124"/>
      <c r="H29" s="117"/>
      <c r="I29" s="124"/>
      <c r="J29" s="124"/>
      <c r="L29" s="117"/>
      <c r="M29" s="108"/>
      <c r="N29" s="117"/>
      <c r="O29" s="117"/>
      <c r="P29" s="117"/>
      <c r="Q29" s="117"/>
    </row>
    <row r="30" spans="5:17" ht="14.25">
      <c r="E30" s="124"/>
      <c r="F30" s="197"/>
      <c r="G30" s="124"/>
      <c r="H30" s="117"/>
      <c r="I30" s="124"/>
      <c r="J30" s="124"/>
      <c r="L30" s="117"/>
      <c r="M30" s="108"/>
      <c r="N30" s="117"/>
      <c r="O30" s="117"/>
      <c r="P30" s="117"/>
      <c r="Q30" s="117"/>
    </row>
    <row r="31" spans="5:17" ht="14.25">
      <c r="E31" s="124"/>
      <c r="F31" s="197"/>
      <c r="G31" s="124"/>
      <c r="H31" s="117"/>
      <c r="I31" s="124"/>
      <c r="J31" s="124"/>
      <c r="L31" s="117"/>
      <c r="M31" s="108"/>
      <c r="N31" s="117"/>
      <c r="O31" s="117"/>
      <c r="P31" s="117"/>
      <c r="Q31" s="117"/>
    </row>
    <row r="32" spans="5:17" ht="14.25">
      <c r="E32" s="124"/>
      <c r="F32" s="197"/>
      <c r="G32" s="124"/>
      <c r="H32" s="117"/>
      <c r="I32" s="124"/>
      <c r="J32" s="124"/>
      <c r="L32" s="117"/>
      <c r="M32" s="108"/>
      <c r="N32" s="117"/>
      <c r="O32" s="117"/>
      <c r="P32" s="117"/>
      <c r="Q32" s="117"/>
    </row>
    <row r="33" spans="5:17" ht="14.25">
      <c r="E33" s="124"/>
      <c r="F33" s="197"/>
      <c r="G33" s="124"/>
      <c r="H33" s="117"/>
      <c r="I33" s="124"/>
      <c r="J33" s="124"/>
      <c r="L33" s="117"/>
      <c r="M33" s="108"/>
      <c r="N33" s="117"/>
      <c r="O33" s="117"/>
      <c r="P33" s="117"/>
      <c r="Q33" s="117"/>
    </row>
    <row r="34" spans="5:17" ht="14.25">
      <c r="E34" s="124"/>
      <c r="F34" s="197"/>
      <c r="G34" s="124"/>
      <c r="H34" s="117"/>
      <c r="I34" s="124"/>
      <c r="J34" s="124"/>
      <c r="L34" s="117"/>
      <c r="M34" s="108"/>
      <c r="N34" s="117"/>
      <c r="O34" s="117"/>
      <c r="P34" s="117"/>
      <c r="Q34" s="117"/>
    </row>
    <row r="35" spans="5:17" ht="14.25">
      <c r="E35" s="124"/>
      <c r="F35" s="197"/>
      <c r="G35" s="124"/>
      <c r="H35" s="117"/>
      <c r="I35" s="124"/>
      <c r="J35" s="124"/>
      <c r="L35" s="117"/>
      <c r="M35" s="108"/>
      <c r="N35" s="117"/>
      <c r="O35" s="117"/>
      <c r="P35" s="117"/>
      <c r="Q35" s="117"/>
    </row>
    <row r="36" spans="5:17" ht="14.25">
      <c r="E36" s="124"/>
      <c r="F36" s="197"/>
      <c r="G36" s="124"/>
      <c r="H36" s="117"/>
      <c r="I36" s="124"/>
      <c r="J36" s="124"/>
      <c r="L36" s="117"/>
      <c r="M36" s="108"/>
      <c r="N36" s="117"/>
      <c r="O36" s="117"/>
      <c r="P36" s="117"/>
      <c r="Q36" s="117"/>
    </row>
    <row r="37" spans="5:17" ht="14.25">
      <c r="E37" s="124"/>
      <c r="F37" s="197"/>
      <c r="G37" s="124"/>
      <c r="H37" s="117"/>
      <c r="I37" s="124"/>
      <c r="J37" s="124"/>
      <c r="L37" s="117"/>
      <c r="M37" s="108"/>
      <c r="N37" s="117"/>
      <c r="O37" s="117"/>
      <c r="P37" s="117"/>
      <c r="Q37" s="117"/>
    </row>
    <row r="38" spans="5:17" ht="14.25">
      <c r="E38" s="124"/>
      <c r="F38" s="197"/>
      <c r="G38" s="124"/>
      <c r="H38" s="117"/>
      <c r="I38" s="124"/>
      <c r="J38" s="124"/>
      <c r="L38" s="117"/>
      <c r="M38" s="108"/>
      <c r="N38" s="117"/>
      <c r="O38" s="117"/>
      <c r="P38" s="117"/>
      <c r="Q38" s="117"/>
    </row>
    <row r="39" spans="5:17" ht="14.25">
      <c r="E39" s="124"/>
      <c r="F39" s="197"/>
      <c r="G39" s="124"/>
      <c r="H39" s="117"/>
      <c r="I39" s="124"/>
      <c r="J39" s="124"/>
      <c r="L39" s="117"/>
      <c r="M39" s="108"/>
      <c r="N39" s="117"/>
      <c r="O39" s="117"/>
      <c r="P39" s="117"/>
      <c r="Q39" s="117"/>
    </row>
    <row r="40" spans="5:17" ht="14.25">
      <c r="E40" s="124"/>
      <c r="F40" s="197"/>
      <c r="G40" s="124"/>
      <c r="H40" s="117"/>
      <c r="I40" s="124"/>
      <c r="J40" s="124"/>
      <c r="L40" s="117"/>
      <c r="M40" s="108"/>
      <c r="N40" s="117"/>
      <c r="O40" s="117"/>
      <c r="P40" s="117"/>
      <c r="Q40" s="117"/>
    </row>
    <row r="41" spans="5:17" ht="14.25">
      <c r="E41" s="124"/>
      <c r="F41" s="197"/>
      <c r="G41" s="124"/>
      <c r="H41" s="117"/>
      <c r="I41" s="124"/>
      <c r="J41" s="124"/>
      <c r="L41" s="117"/>
      <c r="M41" s="108"/>
      <c r="N41" s="117"/>
      <c r="O41" s="117"/>
      <c r="P41" s="117"/>
      <c r="Q41" s="117"/>
    </row>
    <row r="42" spans="5:17" ht="14.25">
      <c r="E42" s="124"/>
      <c r="F42" s="197"/>
      <c r="G42" s="124"/>
      <c r="H42" s="117"/>
      <c r="I42" s="124"/>
      <c r="J42" s="124"/>
      <c r="L42" s="117"/>
      <c r="M42" s="108"/>
      <c r="N42" s="117"/>
      <c r="O42" s="117"/>
      <c r="P42" s="117"/>
      <c r="Q42" s="117"/>
    </row>
    <row r="43" spans="5:17" ht="14.25">
      <c r="E43" s="124"/>
      <c r="F43" s="197"/>
      <c r="G43" s="124"/>
      <c r="H43" s="117"/>
      <c r="I43" s="124"/>
      <c r="J43" s="124"/>
      <c r="L43" s="117"/>
      <c r="M43" s="108"/>
      <c r="N43" s="117"/>
      <c r="O43" s="117"/>
      <c r="P43" s="117"/>
      <c r="Q43" s="117"/>
    </row>
    <row r="44" spans="5:17" ht="14.25">
      <c r="E44" s="124"/>
      <c r="F44" s="197"/>
      <c r="G44" s="124"/>
      <c r="H44" s="117"/>
      <c r="I44" s="124"/>
      <c r="J44" s="124"/>
      <c r="L44" s="117"/>
      <c r="M44" s="108"/>
      <c r="N44" s="117"/>
      <c r="O44" s="117"/>
      <c r="P44" s="117"/>
      <c r="Q44" s="117"/>
    </row>
  </sheetData>
  <sheetProtection/>
  <mergeCells count="3">
    <mergeCell ref="B2:M2"/>
    <mergeCell ref="B3:M3"/>
    <mergeCell ref="B4:M4"/>
  </mergeCells>
  <printOptions horizontalCentered="1"/>
  <pageMargins left="0.75" right="0.56" top="1" bottom="1" header="0.5" footer="0.5"/>
  <pageSetup fitToHeight="2" horizontalDpi="300" verticalDpi="300" orientation="landscape" scale="67" r:id="rId1"/>
  <headerFooter alignWithMargins="0">
    <oddFooter>&amp;L&amp;"Times New Roman,Regular"Permit To Operate No. 8103
Santa Barbara APCD</oddFooter>
  </headerFooter>
</worksheet>
</file>

<file path=xl/worksheets/sheet3.xml><?xml version="1.0" encoding="utf-8"?>
<worksheet xmlns="http://schemas.openxmlformats.org/spreadsheetml/2006/main" xmlns:r="http://schemas.openxmlformats.org/officeDocument/2006/relationships">
  <sheetPr transitionEvaluation="1"/>
  <dimension ref="B1:Q91"/>
  <sheetViews>
    <sheetView showGridLines="0" zoomScale="75" zoomScaleNormal="75" zoomScalePageLayoutView="0" workbookViewId="0" topLeftCell="A1">
      <selection activeCell="U26" sqref="U26"/>
    </sheetView>
  </sheetViews>
  <sheetFormatPr defaultColWidth="9.625" defaultRowHeight="12.75"/>
  <cols>
    <col min="1" max="1" width="2.625" style="82" customWidth="1"/>
    <col min="2" max="2" width="20.75390625" style="82" customWidth="1"/>
    <col min="3" max="3" width="21.625" style="82" customWidth="1"/>
    <col min="4" max="4" width="14.625" style="82" customWidth="1"/>
    <col min="5" max="12" width="6.625" style="118" customWidth="1"/>
    <col min="13" max="16" width="6.625" style="82" customWidth="1"/>
    <col min="17" max="17" width="8.625" style="84" customWidth="1"/>
    <col min="18" max="18" width="2.625" style="82" customWidth="1"/>
    <col min="19" max="16384" width="9.625" style="82" customWidth="1"/>
  </cols>
  <sheetData>
    <row r="1" spans="2:6" ht="14.25">
      <c r="B1" s="83"/>
      <c r="F1" s="124"/>
    </row>
    <row r="2" ht="14.25">
      <c r="H2" s="124"/>
    </row>
    <row r="3" spans="2:17" ht="15">
      <c r="B3" s="320" t="s">
        <v>35</v>
      </c>
      <c r="C3" s="320"/>
      <c r="D3" s="320"/>
      <c r="E3" s="320"/>
      <c r="F3" s="320"/>
      <c r="G3" s="320"/>
      <c r="H3" s="320"/>
      <c r="I3" s="320"/>
      <c r="J3" s="320"/>
      <c r="K3" s="320"/>
      <c r="L3" s="320"/>
      <c r="M3" s="320"/>
      <c r="N3" s="320"/>
      <c r="O3" s="320"/>
      <c r="P3" s="320"/>
      <c r="Q3" s="320"/>
    </row>
    <row r="4" spans="2:17" ht="15">
      <c r="B4" s="320" t="str">
        <f>Data!B3</f>
        <v>Beachfront Lease PT70-APCD PTO 8103 R10</v>
      </c>
      <c r="C4" s="320"/>
      <c r="D4" s="320"/>
      <c r="E4" s="320"/>
      <c r="F4" s="320"/>
      <c r="G4" s="320"/>
      <c r="H4" s="320"/>
      <c r="I4" s="320"/>
      <c r="J4" s="320"/>
      <c r="K4" s="320"/>
      <c r="L4" s="320"/>
      <c r="M4" s="320"/>
      <c r="N4" s="320"/>
      <c r="O4" s="320"/>
      <c r="P4" s="320"/>
      <c r="Q4" s="320"/>
    </row>
    <row r="5" spans="2:17" ht="12.75" customHeight="1">
      <c r="B5" s="320" t="s">
        <v>48</v>
      </c>
      <c r="C5" s="320"/>
      <c r="D5" s="320"/>
      <c r="E5" s="320"/>
      <c r="F5" s="320"/>
      <c r="G5" s="320"/>
      <c r="H5" s="320"/>
      <c r="I5" s="320"/>
      <c r="J5" s="320"/>
      <c r="K5" s="320"/>
      <c r="L5" s="320"/>
      <c r="M5" s="320"/>
      <c r="N5" s="320"/>
      <c r="O5" s="320"/>
      <c r="P5" s="320"/>
      <c r="Q5" s="320"/>
    </row>
    <row r="6" spans="2:17" ht="12.75" customHeight="1" thickBot="1">
      <c r="B6" s="90"/>
      <c r="K6" s="125" t="s">
        <v>36</v>
      </c>
      <c r="Q6" s="126"/>
    </row>
    <row r="7" spans="2:17" ht="5.25" customHeight="1">
      <c r="B7" s="127"/>
      <c r="C7" s="128"/>
      <c r="D7" s="128"/>
      <c r="E7" s="129"/>
      <c r="F7" s="129"/>
      <c r="G7" s="129"/>
      <c r="H7" s="129"/>
      <c r="I7" s="130" t="s">
        <v>5</v>
      </c>
      <c r="J7" s="129"/>
      <c r="K7" s="129"/>
      <c r="L7" s="129"/>
      <c r="M7" s="128"/>
      <c r="N7" s="128"/>
      <c r="O7" s="128"/>
      <c r="P7" s="128"/>
      <c r="Q7" s="189"/>
    </row>
    <row r="8" spans="2:17" ht="15">
      <c r="B8" s="99"/>
      <c r="C8" s="100"/>
      <c r="D8" s="188" t="s">
        <v>192</v>
      </c>
      <c r="E8" s="131" t="s">
        <v>28</v>
      </c>
      <c r="F8" s="131"/>
      <c r="G8" s="131" t="s">
        <v>29</v>
      </c>
      <c r="H8" s="131"/>
      <c r="I8" s="131" t="s">
        <v>30</v>
      </c>
      <c r="J8" s="131"/>
      <c r="K8" s="131" t="s">
        <v>37</v>
      </c>
      <c r="L8" s="131"/>
      <c r="M8" s="132" t="s">
        <v>32</v>
      </c>
      <c r="N8" s="132"/>
      <c r="O8" s="132" t="s">
        <v>33</v>
      </c>
      <c r="P8" s="132"/>
      <c r="Q8" s="190" t="s">
        <v>185</v>
      </c>
    </row>
    <row r="9" spans="2:17" ht="15.75" thickBot="1">
      <c r="B9" s="101" t="s">
        <v>6</v>
      </c>
      <c r="C9" s="102" t="s">
        <v>7</v>
      </c>
      <c r="D9" s="103" t="s">
        <v>183</v>
      </c>
      <c r="E9" s="133" t="s">
        <v>38</v>
      </c>
      <c r="F9" s="122" t="s">
        <v>39</v>
      </c>
      <c r="G9" s="133" t="s">
        <v>38</v>
      </c>
      <c r="H9" s="122" t="s">
        <v>39</v>
      </c>
      <c r="I9" s="133" t="s">
        <v>38</v>
      </c>
      <c r="J9" s="122" t="s">
        <v>39</v>
      </c>
      <c r="K9" s="133" t="s">
        <v>38</v>
      </c>
      <c r="L9" s="122" t="s">
        <v>39</v>
      </c>
      <c r="M9" s="106" t="s">
        <v>38</v>
      </c>
      <c r="N9" s="103" t="s">
        <v>39</v>
      </c>
      <c r="O9" s="106" t="s">
        <v>38</v>
      </c>
      <c r="P9" s="103" t="s">
        <v>39</v>
      </c>
      <c r="Q9" s="191" t="s">
        <v>184</v>
      </c>
    </row>
    <row r="10" ht="19.5" customHeight="1">
      <c r="D10" s="84" t="s">
        <v>5</v>
      </c>
    </row>
    <row r="11" spans="2:16" ht="19.5" customHeight="1">
      <c r="B11" s="112" t="s">
        <v>194</v>
      </c>
      <c r="C11" s="112" t="s">
        <v>186</v>
      </c>
      <c r="D11" s="84"/>
      <c r="E11" s="134" t="s">
        <v>19</v>
      </c>
      <c r="F11" s="134" t="s">
        <v>19</v>
      </c>
      <c r="G11" s="124">
        <f>Data!G9*'EF'!F9</f>
        <v>0.1829</v>
      </c>
      <c r="H11" s="124">
        <f aca="true" t="shared" si="0" ref="H11:H16">G11*365/2000</f>
        <v>0.03337925</v>
      </c>
      <c r="I11" s="134" t="s">
        <v>19</v>
      </c>
      <c r="J11" s="134" t="s">
        <v>19</v>
      </c>
      <c r="K11" s="134" t="s">
        <v>19</v>
      </c>
      <c r="L11" s="134" t="s">
        <v>19</v>
      </c>
      <c r="M11" s="135" t="s">
        <v>19</v>
      </c>
      <c r="N11" s="136" t="s">
        <v>19</v>
      </c>
      <c r="O11" s="135" t="s">
        <v>19</v>
      </c>
      <c r="P11" s="135" t="s">
        <v>19</v>
      </c>
    </row>
    <row r="12" spans="3:16" ht="19.5" customHeight="1">
      <c r="C12" s="112" t="s">
        <v>187</v>
      </c>
      <c r="D12" s="84"/>
      <c r="E12" s="134" t="s">
        <v>19</v>
      </c>
      <c r="F12" s="134" t="s">
        <v>19</v>
      </c>
      <c r="G12" s="124">
        <f>Data!G10*'EF'!F10</f>
        <v>0.18662</v>
      </c>
      <c r="H12" s="124">
        <f t="shared" si="0"/>
        <v>0.03405815</v>
      </c>
      <c r="I12" s="134" t="s">
        <v>19</v>
      </c>
      <c r="J12" s="134" t="s">
        <v>19</v>
      </c>
      <c r="K12" s="134" t="s">
        <v>19</v>
      </c>
      <c r="L12" s="134" t="s">
        <v>19</v>
      </c>
      <c r="M12" s="135" t="s">
        <v>19</v>
      </c>
      <c r="N12" s="136" t="s">
        <v>19</v>
      </c>
      <c r="O12" s="135" t="s">
        <v>19</v>
      </c>
      <c r="P12" s="135" t="s">
        <v>19</v>
      </c>
    </row>
    <row r="13" spans="2:17" ht="19.5" customHeight="1">
      <c r="B13" s="112" t="s">
        <v>195</v>
      </c>
      <c r="C13" s="112" t="s">
        <v>186</v>
      </c>
      <c r="D13" s="194">
        <v>106451</v>
      </c>
      <c r="E13" s="134" t="s">
        <v>19</v>
      </c>
      <c r="F13" s="134" t="s">
        <v>19</v>
      </c>
      <c r="G13" s="124">
        <f>Data!G11*'EF'!F11</f>
        <v>0.007803</v>
      </c>
      <c r="H13" s="124">
        <f t="shared" si="0"/>
        <v>0.0014240474999999999</v>
      </c>
      <c r="I13" s="134" t="s">
        <v>19</v>
      </c>
      <c r="J13" s="134" t="s">
        <v>19</v>
      </c>
      <c r="K13" s="134" t="s">
        <v>19</v>
      </c>
      <c r="L13" s="134" t="s">
        <v>19</v>
      </c>
      <c r="M13" s="135" t="s">
        <v>19</v>
      </c>
      <c r="N13" s="136" t="s">
        <v>19</v>
      </c>
      <c r="O13" s="135" t="s">
        <v>19</v>
      </c>
      <c r="P13" s="135" t="s">
        <v>19</v>
      </c>
      <c r="Q13" s="108" t="s">
        <v>46</v>
      </c>
    </row>
    <row r="14" spans="3:17" ht="19.5" customHeight="1">
      <c r="C14" s="112" t="s">
        <v>193</v>
      </c>
      <c r="D14" s="194"/>
      <c r="E14" s="134" t="s">
        <v>19</v>
      </c>
      <c r="F14" s="134" t="s">
        <v>19</v>
      </c>
      <c r="G14" s="124">
        <f>Data!G12*'EF'!F12</f>
        <v>0.022959999999999998</v>
      </c>
      <c r="H14" s="124">
        <f t="shared" si="0"/>
        <v>0.0041902</v>
      </c>
      <c r="I14" s="134" t="s">
        <v>19</v>
      </c>
      <c r="J14" s="134" t="s">
        <v>19</v>
      </c>
      <c r="K14" s="134" t="s">
        <v>19</v>
      </c>
      <c r="L14" s="134" t="s">
        <v>19</v>
      </c>
      <c r="M14" s="135" t="s">
        <v>19</v>
      </c>
      <c r="N14" s="136" t="s">
        <v>19</v>
      </c>
      <c r="O14" s="135" t="s">
        <v>19</v>
      </c>
      <c r="P14" s="135" t="s">
        <v>19</v>
      </c>
      <c r="Q14" s="108"/>
    </row>
    <row r="15" spans="2:17" ht="19.5" customHeight="1">
      <c r="B15" s="196"/>
      <c r="C15" s="112" t="s">
        <v>187</v>
      </c>
      <c r="D15" s="194">
        <v>106452</v>
      </c>
      <c r="E15" s="134" t="s">
        <v>19</v>
      </c>
      <c r="F15" s="134" t="s">
        <v>19</v>
      </c>
      <c r="G15" s="124">
        <f>Data!G13*'EF'!F13</f>
        <v>0.019936</v>
      </c>
      <c r="H15" s="124">
        <f t="shared" si="0"/>
        <v>0.0036383199999999996</v>
      </c>
      <c r="I15" s="134" t="s">
        <v>19</v>
      </c>
      <c r="J15" s="134" t="s">
        <v>19</v>
      </c>
      <c r="K15" s="134" t="s">
        <v>19</v>
      </c>
      <c r="L15" s="134" t="s">
        <v>19</v>
      </c>
      <c r="M15" s="135" t="s">
        <v>19</v>
      </c>
      <c r="N15" s="136" t="s">
        <v>19</v>
      </c>
      <c r="O15" s="135" t="s">
        <v>19</v>
      </c>
      <c r="P15" s="135" t="s">
        <v>19</v>
      </c>
      <c r="Q15" s="108"/>
    </row>
    <row r="16" spans="2:17" ht="19.5" customHeight="1">
      <c r="B16" s="112"/>
      <c r="C16" s="112" t="s">
        <v>188</v>
      </c>
      <c r="D16" s="194">
        <v>106453</v>
      </c>
      <c r="E16" s="134" t="s">
        <v>19</v>
      </c>
      <c r="F16" s="134" t="s">
        <v>19</v>
      </c>
      <c r="G16" s="203">
        <f>Data!G14*'EF'!F14</f>
        <v>0.028</v>
      </c>
      <c r="H16" s="203">
        <f t="shared" si="0"/>
        <v>0.00511</v>
      </c>
      <c r="I16" s="134" t="s">
        <v>19</v>
      </c>
      <c r="J16" s="134" t="s">
        <v>19</v>
      </c>
      <c r="K16" s="134" t="s">
        <v>19</v>
      </c>
      <c r="L16" s="134" t="s">
        <v>19</v>
      </c>
      <c r="M16" s="135" t="s">
        <v>19</v>
      </c>
      <c r="N16" s="136" t="s">
        <v>19</v>
      </c>
      <c r="O16" s="135" t="s">
        <v>19</v>
      </c>
      <c r="P16" s="135" t="s">
        <v>19</v>
      </c>
      <c r="Q16" s="108"/>
    </row>
    <row r="17" spans="2:17" ht="19.5" customHeight="1">
      <c r="B17" s="112"/>
      <c r="C17" s="112"/>
      <c r="D17" s="194"/>
      <c r="E17" s="134"/>
      <c r="F17" s="202" t="s">
        <v>191</v>
      </c>
      <c r="G17" s="134">
        <f>SUM(G11:G16)</f>
        <v>0.44821900000000003</v>
      </c>
      <c r="H17" s="134">
        <f>SUM(H11:H16)</f>
        <v>0.08179996750000001</v>
      </c>
      <c r="I17" s="134"/>
      <c r="J17" s="134"/>
      <c r="K17" s="134"/>
      <c r="L17" s="134"/>
      <c r="M17" s="135"/>
      <c r="N17" s="136"/>
      <c r="O17" s="135"/>
      <c r="P17" s="135"/>
      <c r="Q17" s="108"/>
    </row>
    <row r="18" spans="2:17" ht="19.5" customHeight="1">
      <c r="B18" s="112" t="s">
        <v>131</v>
      </c>
      <c r="C18" s="112" t="s">
        <v>49</v>
      </c>
      <c r="D18" s="194">
        <v>100195</v>
      </c>
      <c r="E18" s="134" t="s">
        <v>19</v>
      </c>
      <c r="F18" s="134" t="s">
        <v>19</v>
      </c>
      <c r="G18" s="124">
        <f>'FHC CALC KVB'!D81</f>
        <v>3.933000000000001</v>
      </c>
      <c r="H18" s="124">
        <f>'FHC CALC KVB'!E81</f>
        <v>0.7177725000000003</v>
      </c>
      <c r="I18" s="134" t="s">
        <v>19</v>
      </c>
      <c r="J18" s="134" t="s">
        <v>19</v>
      </c>
      <c r="K18" s="134" t="s">
        <v>19</v>
      </c>
      <c r="L18" s="134" t="s">
        <v>19</v>
      </c>
      <c r="M18" s="135" t="s">
        <v>19</v>
      </c>
      <c r="N18" s="136" t="s">
        <v>19</v>
      </c>
      <c r="O18" s="135" t="s">
        <v>19</v>
      </c>
      <c r="P18" s="135" t="s">
        <v>19</v>
      </c>
      <c r="Q18" s="108" t="s">
        <v>46</v>
      </c>
    </row>
    <row r="19" spans="2:17" ht="19.5" customHeight="1">
      <c r="B19" s="89"/>
      <c r="C19" s="88"/>
      <c r="D19" s="195"/>
      <c r="E19" s="134"/>
      <c r="F19" s="134"/>
      <c r="G19" s="134"/>
      <c r="H19" s="134"/>
      <c r="I19" s="134"/>
      <c r="J19" s="134"/>
      <c r="K19" s="134"/>
      <c r="L19" s="134"/>
      <c r="M19" s="135"/>
      <c r="N19" s="136"/>
      <c r="O19" s="135"/>
      <c r="P19" s="135"/>
      <c r="Q19" s="111"/>
    </row>
    <row r="20" spans="2:17" ht="19.5" customHeight="1">
      <c r="B20" s="89" t="s">
        <v>22</v>
      </c>
      <c r="C20" s="89" t="s">
        <v>182</v>
      </c>
      <c r="D20" s="195">
        <v>106334</v>
      </c>
      <c r="E20" s="112" t="s">
        <v>19</v>
      </c>
      <c r="F20" s="112" t="s">
        <v>19</v>
      </c>
      <c r="G20" s="124">
        <v>0.01</v>
      </c>
      <c r="H20" s="124">
        <v>0</v>
      </c>
      <c r="I20" s="137" t="s">
        <v>19</v>
      </c>
      <c r="J20" s="137" t="s">
        <v>19</v>
      </c>
      <c r="K20" s="137" t="s">
        <v>19</v>
      </c>
      <c r="L20" s="137" t="s">
        <v>19</v>
      </c>
      <c r="M20" s="137" t="s">
        <v>19</v>
      </c>
      <c r="N20" s="137" t="s">
        <v>19</v>
      </c>
      <c r="O20" s="137" t="s">
        <v>19</v>
      </c>
      <c r="P20" s="137" t="s">
        <v>19</v>
      </c>
      <c r="Q20" s="111" t="s">
        <v>46</v>
      </c>
    </row>
    <row r="21" spans="2:17" ht="19.5" customHeight="1">
      <c r="B21" s="89"/>
      <c r="C21" s="89"/>
      <c r="D21" s="89"/>
      <c r="E21" s="134"/>
      <c r="F21" s="134"/>
      <c r="G21" s="124"/>
      <c r="H21" s="124"/>
      <c r="I21" s="134"/>
      <c r="J21" s="134"/>
      <c r="K21" s="134"/>
      <c r="L21" s="134"/>
      <c r="M21" s="135"/>
      <c r="N21" s="136"/>
      <c r="O21" s="135"/>
      <c r="P21" s="135"/>
      <c r="Q21" s="192"/>
    </row>
    <row r="22" spans="2:17" ht="19.5" customHeight="1">
      <c r="B22" s="138" t="s">
        <v>40</v>
      </c>
      <c r="C22" s="112"/>
      <c r="D22" s="112"/>
      <c r="E22" s="134">
        <f aca="true" t="shared" si="1" ref="E22:P22">SUM(E13:E19)</f>
        <v>0</v>
      </c>
      <c r="F22" s="134">
        <f t="shared" si="1"/>
        <v>0</v>
      </c>
      <c r="G22" s="134">
        <f>SUM(G17:G20)</f>
        <v>4.391219000000001</v>
      </c>
      <c r="H22" s="134">
        <f>SUM(H17:H20)</f>
        <v>0.7995724675000002</v>
      </c>
      <c r="I22" s="134">
        <f t="shared" si="1"/>
        <v>0</v>
      </c>
      <c r="J22" s="134">
        <f t="shared" si="1"/>
        <v>0</v>
      </c>
      <c r="K22" s="134">
        <f t="shared" si="1"/>
        <v>0</v>
      </c>
      <c r="L22" s="134">
        <f t="shared" si="1"/>
        <v>0</v>
      </c>
      <c r="M22" s="134">
        <f t="shared" si="1"/>
        <v>0</v>
      </c>
      <c r="N22" s="134">
        <f t="shared" si="1"/>
        <v>0</v>
      </c>
      <c r="O22" s="134">
        <f t="shared" si="1"/>
        <v>0</v>
      </c>
      <c r="P22" s="134">
        <f t="shared" si="1"/>
        <v>0</v>
      </c>
      <c r="Q22" s="193"/>
    </row>
    <row r="23" spans="2:17" ht="19.5" customHeight="1">
      <c r="B23" s="182" t="s">
        <v>155</v>
      </c>
      <c r="E23" s="134"/>
      <c r="F23" s="134"/>
      <c r="G23" s="124"/>
      <c r="H23" s="124"/>
      <c r="I23" s="134"/>
      <c r="J23" s="134"/>
      <c r="K23" s="134"/>
      <c r="L23" s="134"/>
      <c r="M23" s="135"/>
      <c r="N23" s="136"/>
      <c r="O23" s="135"/>
      <c r="P23" s="135"/>
      <c r="Q23" s="108"/>
    </row>
    <row r="24" spans="2:17" ht="19.5" customHeight="1">
      <c r="B24" s="181" t="s">
        <v>181</v>
      </c>
      <c r="E24" s="134"/>
      <c r="F24" s="134"/>
      <c r="G24" s="124"/>
      <c r="H24" s="124"/>
      <c r="I24" s="134"/>
      <c r="J24" s="134"/>
      <c r="K24" s="134"/>
      <c r="L24" s="134"/>
      <c r="M24" s="135"/>
      <c r="N24" s="136"/>
      <c r="O24" s="135"/>
      <c r="P24" s="135"/>
      <c r="Q24" s="108"/>
    </row>
    <row r="25" spans="2:17" ht="14.25">
      <c r="B25" s="89"/>
      <c r="C25" s="112"/>
      <c r="D25" s="112"/>
      <c r="E25" s="134"/>
      <c r="F25" s="134"/>
      <c r="G25" s="124"/>
      <c r="H25" s="124"/>
      <c r="I25" s="134"/>
      <c r="J25" s="134"/>
      <c r="K25" s="134"/>
      <c r="L25" s="134"/>
      <c r="M25" s="135"/>
      <c r="N25" s="136"/>
      <c r="O25" s="135"/>
      <c r="P25" s="135"/>
      <c r="Q25" s="108"/>
    </row>
    <row r="26" spans="2:17" ht="14.25">
      <c r="B26" s="89"/>
      <c r="C26" s="112"/>
      <c r="D26" s="112"/>
      <c r="E26" s="134"/>
      <c r="F26" s="134"/>
      <c r="G26" s="124"/>
      <c r="H26" s="124"/>
      <c r="I26" s="134"/>
      <c r="J26" s="134"/>
      <c r="K26" s="134"/>
      <c r="L26" s="134"/>
      <c r="M26" s="135"/>
      <c r="N26" s="136"/>
      <c r="O26" s="135"/>
      <c r="P26" s="135"/>
      <c r="Q26" s="108"/>
    </row>
    <row r="27" spans="2:17" ht="14.25">
      <c r="B27" s="89"/>
      <c r="C27" s="112"/>
      <c r="D27" s="112"/>
      <c r="E27" s="134"/>
      <c r="F27" s="134"/>
      <c r="G27" s="124"/>
      <c r="H27" s="124"/>
      <c r="I27" s="134"/>
      <c r="J27" s="134"/>
      <c r="K27" s="134"/>
      <c r="L27" s="134"/>
      <c r="M27" s="135"/>
      <c r="N27" s="136"/>
      <c r="O27" s="135"/>
      <c r="P27" s="135"/>
      <c r="Q27" s="108"/>
    </row>
    <row r="28" spans="2:17" ht="14.25">
      <c r="B28" s="89"/>
      <c r="C28" s="89"/>
      <c r="D28" s="89"/>
      <c r="E28" s="124"/>
      <c r="F28" s="124"/>
      <c r="G28" s="124"/>
      <c r="H28" s="124"/>
      <c r="I28" s="124"/>
      <c r="J28" s="124"/>
      <c r="K28" s="124"/>
      <c r="L28" s="124"/>
      <c r="M28" s="117"/>
      <c r="N28" s="116"/>
      <c r="O28" s="117"/>
      <c r="P28" s="117"/>
      <c r="Q28" s="108"/>
    </row>
    <row r="29" spans="2:17" ht="14.25">
      <c r="B29" s="112"/>
      <c r="C29" s="112"/>
      <c r="D29" s="112"/>
      <c r="E29" s="124"/>
      <c r="F29" s="124"/>
      <c r="G29" s="124"/>
      <c r="H29" s="124"/>
      <c r="I29" s="124"/>
      <c r="J29" s="124"/>
      <c r="K29" s="124"/>
      <c r="L29" s="124"/>
      <c r="M29" s="117"/>
      <c r="N29" s="116"/>
      <c r="O29" s="117"/>
      <c r="P29" s="116"/>
      <c r="Q29" s="108"/>
    </row>
    <row r="30" spans="2:17" ht="14.25">
      <c r="B30" s="89"/>
      <c r="C30" s="112"/>
      <c r="D30" s="112"/>
      <c r="E30" s="124"/>
      <c r="F30" s="124"/>
      <c r="G30" s="124"/>
      <c r="H30" s="124"/>
      <c r="I30" s="124"/>
      <c r="J30" s="124"/>
      <c r="K30" s="124"/>
      <c r="L30" s="124"/>
      <c r="M30" s="117"/>
      <c r="N30" s="116"/>
      <c r="O30" s="117"/>
      <c r="P30" s="116"/>
      <c r="Q30" s="108"/>
    </row>
    <row r="31" spans="2:17" ht="14.25">
      <c r="B31" s="89"/>
      <c r="C31" s="112"/>
      <c r="D31" s="112"/>
      <c r="E31" s="124"/>
      <c r="F31" s="124"/>
      <c r="G31" s="124"/>
      <c r="H31" s="124"/>
      <c r="I31" s="124"/>
      <c r="J31" s="124"/>
      <c r="K31" s="124"/>
      <c r="L31" s="124"/>
      <c r="M31" s="117"/>
      <c r="N31" s="116"/>
      <c r="O31" s="117"/>
      <c r="P31" s="116"/>
      <c r="Q31" s="108"/>
    </row>
    <row r="32" spans="2:17" ht="14.25">
      <c r="B32" s="89"/>
      <c r="C32" s="112"/>
      <c r="D32" s="112"/>
      <c r="E32" s="124"/>
      <c r="F32" s="124"/>
      <c r="G32" s="124"/>
      <c r="H32" s="124"/>
      <c r="I32" s="124"/>
      <c r="J32" s="124"/>
      <c r="K32" s="124"/>
      <c r="L32" s="124"/>
      <c r="M32" s="117"/>
      <c r="N32" s="116"/>
      <c r="O32" s="117"/>
      <c r="P32" s="116"/>
      <c r="Q32" s="108"/>
    </row>
    <row r="33" spans="2:17" ht="14.25">
      <c r="B33" s="89"/>
      <c r="C33" s="112"/>
      <c r="D33" s="112"/>
      <c r="E33" s="124"/>
      <c r="F33" s="124"/>
      <c r="G33" s="124"/>
      <c r="H33" s="124"/>
      <c r="I33" s="124"/>
      <c r="J33" s="124"/>
      <c r="K33" s="124"/>
      <c r="L33" s="124"/>
      <c r="M33" s="117"/>
      <c r="N33" s="116"/>
      <c r="O33" s="117"/>
      <c r="P33" s="116"/>
      <c r="Q33" s="108"/>
    </row>
    <row r="34" spans="2:17" ht="14.25">
      <c r="B34" s="89"/>
      <c r="C34" s="89"/>
      <c r="D34" s="89"/>
      <c r="E34" s="124"/>
      <c r="F34" s="124"/>
      <c r="G34" s="124"/>
      <c r="H34" s="124"/>
      <c r="I34" s="124"/>
      <c r="J34" s="124"/>
      <c r="K34" s="124"/>
      <c r="L34" s="124"/>
      <c r="M34" s="117"/>
      <c r="N34" s="116"/>
      <c r="O34" s="117"/>
      <c r="P34" s="117"/>
      <c r="Q34" s="108"/>
    </row>
    <row r="35" spans="2:17" ht="14.25">
      <c r="B35" s="112"/>
      <c r="C35" s="112"/>
      <c r="D35" s="112"/>
      <c r="E35" s="134"/>
      <c r="F35" s="134"/>
      <c r="G35" s="124"/>
      <c r="H35" s="124"/>
      <c r="I35" s="134"/>
      <c r="J35" s="134"/>
      <c r="K35" s="134"/>
      <c r="L35" s="134"/>
      <c r="M35" s="135"/>
      <c r="N35" s="136"/>
      <c r="O35" s="135"/>
      <c r="P35" s="135"/>
      <c r="Q35" s="108"/>
    </row>
    <row r="36" spans="2:17" ht="14.25">
      <c r="B36" s="89"/>
      <c r="C36" s="89"/>
      <c r="D36" s="89"/>
      <c r="E36" s="124"/>
      <c r="F36" s="124"/>
      <c r="G36" s="124"/>
      <c r="H36" s="124"/>
      <c r="I36" s="124"/>
      <c r="J36" s="124"/>
      <c r="K36" s="124"/>
      <c r="L36" s="124"/>
      <c r="M36" s="117"/>
      <c r="N36" s="116"/>
      <c r="O36" s="117"/>
      <c r="P36" s="117"/>
      <c r="Q36" s="108"/>
    </row>
    <row r="37" spans="2:17" ht="14.25">
      <c r="B37" s="89"/>
      <c r="C37" s="89"/>
      <c r="D37" s="89"/>
      <c r="E37" s="124"/>
      <c r="F37" s="124"/>
      <c r="G37" s="124"/>
      <c r="H37" s="124"/>
      <c r="I37" s="124"/>
      <c r="J37" s="124"/>
      <c r="K37" s="124"/>
      <c r="L37" s="124"/>
      <c r="M37" s="117"/>
      <c r="N37" s="116"/>
      <c r="O37" s="117"/>
      <c r="P37" s="117"/>
      <c r="Q37" s="108"/>
    </row>
    <row r="38" spans="2:17" ht="14.25">
      <c r="B38" s="89"/>
      <c r="C38" s="89"/>
      <c r="D38" s="89"/>
      <c r="E38" s="124"/>
      <c r="F38" s="124"/>
      <c r="G38" s="124"/>
      <c r="H38" s="124"/>
      <c r="I38" s="124"/>
      <c r="J38" s="124"/>
      <c r="K38" s="124"/>
      <c r="L38" s="124"/>
      <c r="M38" s="117"/>
      <c r="N38" s="116"/>
      <c r="O38" s="117"/>
      <c r="P38" s="117"/>
      <c r="Q38" s="108"/>
    </row>
    <row r="39" spans="2:17" ht="14.25">
      <c r="B39" s="89"/>
      <c r="C39" s="89"/>
      <c r="D39" s="89"/>
      <c r="E39" s="124"/>
      <c r="F39" s="124"/>
      <c r="G39" s="124"/>
      <c r="H39" s="124"/>
      <c r="I39" s="124"/>
      <c r="J39" s="124"/>
      <c r="K39" s="124"/>
      <c r="L39" s="124"/>
      <c r="M39" s="117"/>
      <c r="N39" s="116"/>
      <c r="O39" s="117"/>
      <c r="P39" s="117"/>
      <c r="Q39" s="108"/>
    </row>
    <row r="40" spans="2:17" ht="14.25">
      <c r="B40" s="89"/>
      <c r="C40" s="89"/>
      <c r="D40" s="89"/>
      <c r="E40" s="124"/>
      <c r="F40" s="124"/>
      <c r="G40" s="124"/>
      <c r="H40" s="124"/>
      <c r="I40" s="124"/>
      <c r="J40" s="124"/>
      <c r="K40" s="124"/>
      <c r="L40" s="124"/>
      <c r="M40" s="117"/>
      <c r="N40" s="116"/>
      <c r="O40" s="117"/>
      <c r="P40" s="117"/>
      <c r="Q40" s="108"/>
    </row>
    <row r="41" spans="2:17" ht="14.25">
      <c r="B41" s="89"/>
      <c r="C41" s="89"/>
      <c r="D41" s="89"/>
      <c r="E41" s="124"/>
      <c r="F41" s="124"/>
      <c r="G41" s="124"/>
      <c r="H41" s="124"/>
      <c r="I41" s="124"/>
      <c r="J41" s="124"/>
      <c r="K41" s="124"/>
      <c r="L41" s="124"/>
      <c r="M41" s="117"/>
      <c r="N41" s="116"/>
      <c r="O41" s="117"/>
      <c r="P41" s="117"/>
      <c r="Q41" s="108"/>
    </row>
    <row r="42" spans="2:17" ht="14.25">
      <c r="B42" s="89"/>
      <c r="C42" s="89"/>
      <c r="D42" s="89"/>
      <c r="E42" s="124"/>
      <c r="F42" s="124"/>
      <c r="G42" s="124"/>
      <c r="H42" s="124"/>
      <c r="I42" s="124"/>
      <c r="J42" s="124"/>
      <c r="K42" s="124"/>
      <c r="L42" s="124"/>
      <c r="M42" s="117"/>
      <c r="N42" s="116"/>
      <c r="O42" s="117"/>
      <c r="P42" s="117"/>
      <c r="Q42" s="108"/>
    </row>
    <row r="43" spans="3:17" ht="14.25">
      <c r="C43" s="89"/>
      <c r="D43" s="89"/>
      <c r="E43" s="124"/>
      <c r="F43" s="124"/>
      <c r="G43" s="124"/>
      <c r="H43" s="124"/>
      <c r="I43" s="124"/>
      <c r="J43" s="124"/>
      <c r="K43" s="124"/>
      <c r="L43" s="124"/>
      <c r="M43" s="117"/>
      <c r="N43" s="116"/>
      <c r="O43" s="117"/>
      <c r="P43" s="117"/>
      <c r="Q43" s="108"/>
    </row>
    <row r="44" spans="3:17" ht="14.25">
      <c r="C44" s="89"/>
      <c r="D44" s="89"/>
      <c r="E44" s="124"/>
      <c r="F44" s="124"/>
      <c r="G44" s="124"/>
      <c r="H44" s="124"/>
      <c r="I44" s="124"/>
      <c r="J44" s="124"/>
      <c r="K44" s="124"/>
      <c r="L44" s="124"/>
      <c r="M44" s="117"/>
      <c r="N44" s="116"/>
      <c r="O44" s="117"/>
      <c r="P44" s="117"/>
      <c r="Q44" s="108"/>
    </row>
    <row r="45" spans="3:17" ht="14.25">
      <c r="C45" s="89"/>
      <c r="D45" s="89"/>
      <c r="E45" s="124"/>
      <c r="F45" s="124"/>
      <c r="G45" s="124"/>
      <c r="H45" s="124"/>
      <c r="I45" s="124"/>
      <c r="J45" s="124"/>
      <c r="K45" s="124"/>
      <c r="L45" s="124"/>
      <c r="M45" s="117"/>
      <c r="N45" s="116"/>
      <c r="O45" s="117"/>
      <c r="P45" s="117"/>
      <c r="Q45" s="108"/>
    </row>
    <row r="46" spans="5:17" ht="14.25">
      <c r="E46" s="124"/>
      <c r="F46" s="124"/>
      <c r="G46" s="124"/>
      <c r="H46" s="124"/>
      <c r="I46" s="124"/>
      <c r="J46" s="124"/>
      <c r="K46" s="124"/>
      <c r="L46" s="124"/>
      <c r="M46" s="117"/>
      <c r="N46" s="116"/>
      <c r="O46" s="117"/>
      <c r="P46" s="117"/>
      <c r="Q46" s="108"/>
    </row>
    <row r="47" spans="5:17" ht="14.25">
      <c r="E47" s="124"/>
      <c r="F47" s="124"/>
      <c r="G47" s="124"/>
      <c r="H47" s="124"/>
      <c r="I47" s="124"/>
      <c r="J47" s="124"/>
      <c r="K47" s="124"/>
      <c r="L47" s="124"/>
      <c r="M47" s="117"/>
      <c r="N47" s="116"/>
      <c r="O47" s="117"/>
      <c r="P47" s="117"/>
      <c r="Q47" s="108"/>
    </row>
    <row r="48" spans="5:17" ht="14.25">
      <c r="E48" s="124"/>
      <c r="F48" s="124"/>
      <c r="G48" s="124"/>
      <c r="H48" s="124"/>
      <c r="I48" s="124"/>
      <c r="J48" s="124"/>
      <c r="K48" s="124"/>
      <c r="L48" s="124"/>
      <c r="M48" s="117"/>
      <c r="N48" s="116"/>
      <c r="O48" s="117"/>
      <c r="P48" s="117"/>
      <c r="Q48" s="108"/>
    </row>
    <row r="49" spans="5:17" ht="14.25">
      <c r="E49" s="124"/>
      <c r="F49" s="124"/>
      <c r="G49" s="124"/>
      <c r="H49" s="124"/>
      <c r="I49" s="124"/>
      <c r="J49" s="124"/>
      <c r="K49" s="124"/>
      <c r="L49" s="124"/>
      <c r="M49" s="117"/>
      <c r="N49" s="116"/>
      <c r="O49" s="117"/>
      <c r="P49" s="117"/>
      <c r="Q49" s="108"/>
    </row>
    <row r="50" spans="5:17" ht="14.25">
      <c r="E50" s="124"/>
      <c r="F50" s="124"/>
      <c r="G50" s="124"/>
      <c r="H50" s="124"/>
      <c r="I50" s="124"/>
      <c r="J50" s="124"/>
      <c r="K50" s="124"/>
      <c r="L50" s="124"/>
      <c r="M50" s="117"/>
      <c r="N50" s="116"/>
      <c r="O50" s="117"/>
      <c r="P50" s="117"/>
      <c r="Q50" s="108"/>
    </row>
    <row r="51" spans="5:17" ht="14.25">
      <c r="E51" s="124"/>
      <c r="F51" s="124"/>
      <c r="G51" s="124"/>
      <c r="H51" s="124"/>
      <c r="I51" s="124"/>
      <c r="J51" s="124"/>
      <c r="K51" s="124"/>
      <c r="L51" s="124"/>
      <c r="M51" s="117"/>
      <c r="N51" s="116"/>
      <c r="O51" s="117"/>
      <c r="P51" s="117"/>
      <c r="Q51" s="108"/>
    </row>
    <row r="52" spans="5:17" ht="14.25">
      <c r="E52" s="124"/>
      <c r="F52" s="124"/>
      <c r="G52" s="124"/>
      <c r="H52" s="124"/>
      <c r="I52" s="124"/>
      <c r="J52" s="124"/>
      <c r="K52" s="124"/>
      <c r="L52" s="124"/>
      <c r="M52" s="117"/>
      <c r="N52" s="117"/>
      <c r="O52" s="117"/>
      <c r="P52" s="117"/>
      <c r="Q52" s="108"/>
    </row>
    <row r="53" spans="5:17" ht="14.25">
      <c r="E53" s="124"/>
      <c r="F53" s="124"/>
      <c r="G53" s="124"/>
      <c r="H53" s="124"/>
      <c r="I53" s="124"/>
      <c r="J53" s="124"/>
      <c r="K53" s="124"/>
      <c r="L53" s="124"/>
      <c r="M53" s="117"/>
      <c r="N53" s="117"/>
      <c r="O53" s="117"/>
      <c r="P53" s="117"/>
      <c r="Q53" s="108"/>
    </row>
    <row r="54" spans="5:17" ht="14.25">
      <c r="E54" s="124"/>
      <c r="F54" s="124"/>
      <c r="G54" s="124"/>
      <c r="H54" s="124"/>
      <c r="I54" s="124"/>
      <c r="J54" s="124"/>
      <c r="K54" s="124"/>
      <c r="L54" s="124"/>
      <c r="M54" s="117"/>
      <c r="N54" s="117"/>
      <c r="O54" s="117"/>
      <c r="P54" s="117"/>
      <c r="Q54" s="108"/>
    </row>
    <row r="55" spans="5:17" ht="14.25">
      <c r="E55" s="124"/>
      <c r="F55" s="124"/>
      <c r="G55" s="124"/>
      <c r="H55" s="124"/>
      <c r="I55" s="124"/>
      <c r="J55" s="124"/>
      <c r="K55" s="124"/>
      <c r="L55" s="124"/>
      <c r="M55" s="117"/>
      <c r="N55" s="117"/>
      <c r="O55" s="117"/>
      <c r="P55" s="117"/>
      <c r="Q55" s="108"/>
    </row>
    <row r="56" spans="5:17" ht="14.25">
      <c r="E56" s="124"/>
      <c r="F56" s="124"/>
      <c r="G56" s="124"/>
      <c r="H56" s="124"/>
      <c r="I56" s="124"/>
      <c r="J56" s="124"/>
      <c r="K56" s="124"/>
      <c r="L56" s="124"/>
      <c r="M56" s="117"/>
      <c r="N56" s="117"/>
      <c r="O56" s="117"/>
      <c r="P56" s="117"/>
      <c r="Q56" s="108"/>
    </row>
    <row r="57" spans="5:17" ht="14.25">
      <c r="E57" s="124"/>
      <c r="F57" s="124"/>
      <c r="G57" s="124"/>
      <c r="H57" s="124"/>
      <c r="I57" s="124"/>
      <c r="J57" s="124"/>
      <c r="K57" s="124"/>
      <c r="L57" s="124"/>
      <c r="M57" s="117"/>
      <c r="N57" s="117"/>
      <c r="O57" s="117"/>
      <c r="P57" s="117"/>
      <c r="Q57" s="108"/>
    </row>
    <row r="58" spans="5:17" ht="14.25">
      <c r="E58" s="124"/>
      <c r="F58" s="124"/>
      <c r="G58" s="124"/>
      <c r="H58" s="124"/>
      <c r="I58" s="124"/>
      <c r="J58" s="124"/>
      <c r="K58" s="124"/>
      <c r="L58" s="124"/>
      <c r="M58" s="117"/>
      <c r="N58" s="117"/>
      <c r="O58" s="117"/>
      <c r="P58" s="117"/>
      <c r="Q58" s="108"/>
    </row>
    <row r="59" spans="5:17" ht="14.25">
      <c r="E59" s="124"/>
      <c r="F59" s="124"/>
      <c r="G59" s="124"/>
      <c r="H59" s="124"/>
      <c r="I59" s="124"/>
      <c r="J59" s="124"/>
      <c r="K59" s="124"/>
      <c r="L59" s="124"/>
      <c r="M59" s="117"/>
      <c r="N59" s="117"/>
      <c r="O59" s="117"/>
      <c r="P59" s="117"/>
      <c r="Q59" s="108"/>
    </row>
    <row r="60" spans="5:17" ht="14.25">
      <c r="E60" s="124"/>
      <c r="F60" s="124"/>
      <c r="G60" s="124"/>
      <c r="H60" s="124"/>
      <c r="I60" s="124"/>
      <c r="J60" s="124"/>
      <c r="K60" s="124"/>
      <c r="L60" s="124"/>
      <c r="M60" s="117"/>
      <c r="N60" s="117"/>
      <c r="O60" s="117"/>
      <c r="P60" s="117"/>
      <c r="Q60" s="108"/>
    </row>
    <row r="61" spans="5:17" ht="14.25">
      <c r="E61" s="124"/>
      <c r="F61" s="124"/>
      <c r="G61" s="124"/>
      <c r="H61" s="124"/>
      <c r="I61" s="124"/>
      <c r="J61" s="124"/>
      <c r="K61" s="124"/>
      <c r="L61" s="124"/>
      <c r="M61" s="117"/>
      <c r="N61" s="117"/>
      <c r="O61" s="117"/>
      <c r="P61" s="117"/>
      <c r="Q61" s="108"/>
    </row>
    <row r="62" spans="5:17" ht="14.25">
      <c r="E62" s="124"/>
      <c r="F62" s="124"/>
      <c r="G62" s="124"/>
      <c r="H62" s="124"/>
      <c r="I62" s="124"/>
      <c r="J62" s="124"/>
      <c r="K62" s="124"/>
      <c r="L62" s="124"/>
      <c r="M62" s="117"/>
      <c r="N62" s="117"/>
      <c r="O62" s="117"/>
      <c r="P62" s="117"/>
      <c r="Q62" s="108"/>
    </row>
    <row r="63" spans="5:16" ht="14.25">
      <c r="E63" s="124"/>
      <c r="F63" s="124"/>
      <c r="G63" s="124"/>
      <c r="H63" s="124"/>
      <c r="I63" s="124"/>
      <c r="J63" s="124"/>
      <c r="K63" s="124"/>
      <c r="L63" s="124"/>
      <c r="M63" s="117"/>
      <c r="N63" s="117"/>
      <c r="O63" s="117"/>
      <c r="P63" s="117"/>
    </row>
    <row r="64" spans="5:16" ht="14.25">
      <c r="E64" s="124"/>
      <c r="F64" s="124"/>
      <c r="G64" s="124"/>
      <c r="H64" s="124"/>
      <c r="I64" s="124"/>
      <c r="J64" s="124"/>
      <c r="K64" s="124"/>
      <c r="L64" s="124"/>
      <c r="M64" s="117"/>
      <c r="N64" s="117"/>
      <c r="O64" s="117"/>
      <c r="P64" s="117"/>
    </row>
    <row r="65" spans="5:16" ht="14.25">
      <c r="E65" s="124"/>
      <c r="F65" s="124"/>
      <c r="G65" s="124"/>
      <c r="H65" s="124"/>
      <c r="I65" s="124"/>
      <c r="J65" s="124"/>
      <c r="K65" s="124"/>
      <c r="L65" s="124"/>
      <c r="M65" s="117"/>
      <c r="N65" s="117"/>
      <c r="O65" s="117"/>
      <c r="P65" s="117"/>
    </row>
    <row r="66" spans="5:16" ht="14.25">
      <c r="E66" s="124"/>
      <c r="F66" s="124"/>
      <c r="G66" s="124"/>
      <c r="H66" s="124"/>
      <c r="I66" s="124"/>
      <c r="J66" s="124"/>
      <c r="K66" s="124"/>
      <c r="L66" s="124"/>
      <c r="M66" s="117"/>
      <c r="N66" s="117"/>
      <c r="O66" s="117"/>
      <c r="P66" s="117"/>
    </row>
    <row r="67" spans="5:16" ht="14.25">
      <c r="E67" s="124"/>
      <c r="F67" s="124"/>
      <c r="G67" s="124"/>
      <c r="H67" s="124"/>
      <c r="I67" s="124"/>
      <c r="J67" s="124"/>
      <c r="K67" s="124"/>
      <c r="L67" s="124"/>
      <c r="M67" s="117"/>
      <c r="N67" s="117"/>
      <c r="O67" s="117"/>
      <c r="P67" s="117"/>
    </row>
    <row r="68" spans="5:16" ht="14.25">
      <c r="E68" s="124"/>
      <c r="F68" s="124"/>
      <c r="G68" s="124"/>
      <c r="H68" s="124"/>
      <c r="I68" s="124"/>
      <c r="J68" s="124"/>
      <c r="K68" s="124"/>
      <c r="L68" s="124"/>
      <c r="M68" s="117"/>
      <c r="N68" s="117"/>
      <c r="O68" s="117"/>
      <c r="P68" s="117"/>
    </row>
    <row r="69" spans="5:16" ht="14.25">
      <c r="E69" s="124"/>
      <c r="F69" s="124"/>
      <c r="G69" s="124"/>
      <c r="H69" s="124"/>
      <c r="I69" s="124"/>
      <c r="J69" s="124"/>
      <c r="K69" s="124"/>
      <c r="L69" s="124"/>
      <c r="M69" s="117"/>
      <c r="N69" s="117"/>
      <c r="O69" s="117"/>
      <c r="P69" s="117"/>
    </row>
    <row r="70" spans="5:16" ht="14.25">
      <c r="E70" s="124"/>
      <c r="F70" s="124"/>
      <c r="G70" s="124"/>
      <c r="H70" s="124"/>
      <c r="I70" s="124"/>
      <c r="J70" s="124"/>
      <c r="K70" s="124"/>
      <c r="L70" s="124"/>
      <c r="M70" s="117"/>
      <c r="N70" s="117"/>
      <c r="O70" s="117"/>
      <c r="P70" s="117"/>
    </row>
    <row r="71" spans="5:16" ht="14.25">
      <c r="E71" s="124"/>
      <c r="F71" s="124"/>
      <c r="G71" s="124"/>
      <c r="H71" s="124"/>
      <c r="I71" s="124"/>
      <c r="J71" s="124"/>
      <c r="K71" s="124"/>
      <c r="L71" s="124"/>
      <c r="M71" s="117"/>
      <c r="N71" s="117"/>
      <c r="O71" s="117"/>
      <c r="P71" s="117"/>
    </row>
    <row r="72" ht="14.25">
      <c r="F72" s="124"/>
    </row>
    <row r="73" ht="14.25">
      <c r="F73" s="124"/>
    </row>
    <row r="74" ht="14.25">
      <c r="F74" s="124"/>
    </row>
    <row r="75" ht="14.25">
      <c r="F75" s="124"/>
    </row>
    <row r="76" ht="14.25">
      <c r="F76" s="124"/>
    </row>
    <row r="77" ht="14.25">
      <c r="F77" s="124"/>
    </row>
    <row r="78" ht="14.25">
      <c r="F78" s="124"/>
    </row>
    <row r="79" ht="14.25">
      <c r="F79" s="124"/>
    </row>
    <row r="80" ht="14.25">
      <c r="F80" s="124"/>
    </row>
    <row r="81" ht="14.25">
      <c r="F81" s="124"/>
    </row>
    <row r="82" ht="14.25">
      <c r="F82" s="124"/>
    </row>
    <row r="83" ht="14.25">
      <c r="F83" s="124"/>
    </row>
    <row r="84" ht="14.25">
      <c r="F84" s="124"/>
    </row>
    <row r="85" ht="14.25">
      <c r="F85" s="124"/>
    </row>
    <row r="86" ht="14.25">
      <c r="F86" s="124"/>
    </row>
    <row r="87" ht="14.25">
      <c r="F87" s="124"/>
    </row>
    <row r="88" ht="14.25">
      <c r="F88" s="124"/>
    </row>
    <row r="89" ht="14.25">
      <c r="F89" s="124"/>
    </row>
    <row r="90" ht="14.25">
      <c r="F90" s="124"/>
    </row>
    <row r="91" ht="14.25">
      <c r="F91" s="124"/>
    </row>
  </sheetData>
  <sheetProtection/>
  <mergeCells count="3">
    <mergeCell ref="B3:Q3"/>
    <mergeCell ref="B4:Q4"/>
    <mergeCell ref="B5:Q5"/>
  </mergeCells>
  <printOptions horizontalCentered="1"/>
  <pageMargins left="0.75" right="0.56" top="1" bottom="1" header="0.5" footer="0.5"/>
  <pageSetup fitToHeight="2" horizontalDpi="300" verticalDpi="300" orientation="landscape" scale="67" r:id="rId1"/>
  <headerFooter alignWithMargins="0">
    <oddFooter>&amp;L&amp;"Times New Roman,Regular"Permit To Operate No. 8103
Santa Barbara APCD</oddFooter>
  </headerFooter>
</worksheet>
</file>

<file path=xl/worksheets/sheet4.xml><?xml version="1.0" encoding="utf-8"?>
<worksheet xmlns="http://schemas.openxmlformats.org/spreadsheetml/2006/main" xmlns:r="http://schemas.openxmlformats.org/officeDocument/2006/relationships">
  <sheetPr transitionEvaluation="1"/>
  <dimension ref="B1:N100"/>
  <sheetViews>
    <sheetView showGridLines="0" zoomScale="53" zoomScaleNormal="53" zoomScalePageLayoutView="0" workbookViewId="0" topLeftCell="A1">
      <selection activeCell="A1" sqref="A1:N36"/>
    </sheetView>
  </sheetViews>
  <sheetFormatPr defaultColWidth="9.625" defaultRowHeight="12.75"/>
  <cols>
    <col min="1" max="1" width="2.25390625" style="82" customWidth="1"/>
    <col min="2" max="2" width="24.625" style="82" customWidth="1"/>
    <col min="3" max="3" width="7.625" style="140" customWidth="1"/>
    <col min="4" max="4" width="3.75390625" style="82" customWidth="1"/>
    <col min="5" max="5" width="11.00390625" style="82" customWidth="1"/>
    <col min="6" max="6" width="4.625" style="82" customWidth="1"/>
    <col min="7" max="7" width="8.50390625" style="82" customWidth="1"/>
    <col min="8" max="8" width="4.625" style="82" customWidth="1"/>
    <col min="9" max="9" width="7.25390625" style="82" customWidth="1"/>
    <col min="10" max="10" width="4.625" style="82" customWidth="1"/>
    <col min="11" max="11" width="7.25390625" style="82" customWidth="1"/>
    <col min="12" max="12" width="4.625" style="82" customWidth="1"/>
    <col min="13" max="13" width="8.875" style="82" customWidth="1"/>
    <col min="14" max="14" width="2.50390625" style="82" customWidth="1"/>
    <col min="15" max="15" width="10.625" style="82" customWidth="1"/>
    <col min="16" max="16384" width="9.625" style="82" customWidth="1"/>
  </cols>
  <sheetData>
    <row r="1" spans="2:8" ht="14.25">
      <c r="B1" s="83"/>
      <c r="H1" s="89"/>
    </row>
    <row r="2" spans="2:13" ht="15">
      <c r="B2" s="320" t="s">
        <v>41</v>
      </c>
      <c r="C2" s="320"/>
      <c r="D2" s="320"/>
      <c r="E2" s="320"/>
      <c r="F2" s="320"/>
      <c r="G2" s="320"/>
      <c r="H2" s="320"/>
      <c r="I2" s="320"/>
      <c r="J2" s="320"/>
      <c r="K2" s="320"/>
      <c r="L2" s="320"/>
      <c r="M2" s="320"/>
    </row>
    <row r="3" spans="2:13" ht="15">
      <c r="B3" s="320" t="str">
        <f>Data!B3</f>
        <v>Beachfront Lease PT70-APCD PTO 8103 R10</v>
      </c>
      <c r="C3" s="320"/>
      <c r="D3" s="320"/>
      <c r="E3" s="320"/>
      <c r="F3" s="320"/>
      <c r="G3" s="320"/>
      <c r="H3" s="320"/>
      <c r="I3" s="320"/>
      <c r="J3" s="320"/>
      <c r="K3" s="320"/>
      <c r="L3" s="320"/>
      <c r="M3" s="320"/>
    </row>
    <row r="4" spans="2:13" ht="15">
      <c r="B4" s="320" t="s">
        <v>42</v>
      </c>
      <c r="C4" s="320"/>
      <c r="D4" s="320"/>
      <c r="E4" s="320"/>
      <c r="F4" s="320"/>
      <c r="G4" s="320"/>
      <c r="H4" s="320"/>
      <c r="I4" s="320"/>
      <c r="J4" s="320"/>
      <c r="K4" s="320"/>
      <c r="L4" s="320"/>
      <c r="M4" s="320"/>
    </row>
    <row r="6" ht="15">
      <c r="B6" s="90"/>
    </row>
    <row r="9" spans="2:14" ht="15">
      <c r="B9" s="141" t="s">
        <v>133</v>
      </c>
      <c r="C9" s="142"/>
      <c r="D9" s="117"/>
      <c r="E9" s="117"/>
      <c r="F9" s="117"/>
      <c r="G9" s="117"/>
      <c r="H9" s="117"/>
      <c r="I9" s="117"/>
      <c r="J9" s="117"/>
      <c r="K9" s="117"/>
      <c r="L9" s="117"/>
      <c r="M9" s="117"/>
      <c r="N9" s="117"/>
    </row>
    <row r="10" ht="15" thickBot="1"/>
    <row r="11" spans="2:14" ht="15" thickBot="1">
      <c r="B11" s="143" t="s">
        <v>6</v>
      </c>
      <c r="C11" s="144" t="s">
        <v>28</v>
      </c>
      <c r="D11" s="145"/>
      <c r="E11" s="145" t="s">
        <v>29</v>
      </c>
      <c r="F11" s="145"/>
      <c r="G11" s="145" t="s">
        <v>30</v>
      </c>
      <c r="H11" s="145"/>
      <c r="I11" s="145" t="s">
        <v>31</v>
      </c>
      <c r="J11" s="145"/>
      <c r="K11" s="145" t="s">
        <v>32</v>
      </c>
      <c r="L11" s="145"/>
      <c r="M11" s="146" t="s">
        <v>200</v>
      </c>
      <c r="N11" s="117"/>
    </row>
    <row r="12" spans="2:14" ht="14.25">
      <c r="B12" s="147"/>
      <c r="C12" s="148"/>
      <c r="D12" s="149"/>
      <c r="E12" s="150"/>
      <c r="F12" s="149"/>
      <c r="G12" s="150"/>
      <c r="H12" s="149"/>
      <c r="I12" s="150"/>
      <c r="J12" s="149"/>
      <c r="K12" s="150"/>
      <c r="L12" s="149"/>
      <c r="M12" s="150"/>
      <c r="N12" s="117"/>
    </row>
    <row r="13" spans="2:14" ht="14.25">
      <c r="B13" s="112" t="s">
        <v>20</v>
      </c>
      <c r="C13" s="151" t="s">
        <v>19</v>
      </c>
      <c r="D13" s="116"/>
      <c r="E13" s="124">
        <f>Emissions!G17</f>
        <v>0.44821900000000003</v>
      </c>
      <c r="F13" s="116"/>
      <c r="G13" s="151" t="s">
        <v>19</v>
      </c>
      <c r="H13" s="152"/>
      <c r="I13" s="151" t="s">
        <v>19</v>
      </c>
      <c r="J13" s="152"/>
      <c r="K13" s="151" t="s">
        <v>19</v>
      </c>
      <c r="L13" s="152"/>
      <c r="M13" s="151" t="s">
        <v>19</v>
      </c>
      <c r="N13" s="114"/>
    </row>
    <row r="14" spans="2:14" ht="14.25">
      <c r="B14" s="89"/>
      <c r="C14" s="153"/>
      <c r="D14" s="116"/>
      <c r="E14" s="124"/>
      <c r="F14" s="116"/>
      <c r="G14" s="153"/>
      <c r="H14" s="152"/>
      <c r="I14" s="153"/>
      <c r="J14" s="152"/>
      <c r="K14" s="153"/>
      <c r="L14" s="152"/>
      <c r="M14" s="153"/>
      <c r="N14" s="114"/>
    </row>
    <row r="15" spans="2:14" ht="14.25">
      <c r="B15" s="112" t="s">
        <v>131</v>
      </c>
      <c r="C15" s="151" t="s">
        <v>19</v>
      </c>
      <c r="D15" s="116"/>
      <c r="E15" s="124">
        <f>Emissions!G18</f>
        <v>3.933000000000001</v>
      </c>
      <c r="F15" s="116"/>
      <c r="G15" s="151" t="s">
        <v>19</v>
      </c>
      <c r="H15" s="152"/>
      <c r="I15" s="151" t="s">
        <v>19</v>
      </c>
      <c r="J15" s="152"/>
      <c r="K15" s="151" t="s">
        <v>19</v>
      </c>
      <c r="L15" s="152"/>
      <c r="M15" s="151" t="s">
        <v>19</v>
      </c>
      <c r="N15" s="114"/>
    </row>
    <row r="16" spans="2:14" ht="14.25">
      <c r="B16" s="89"/>
      <c r="C16" s="153"/>
      <c r="D16" s="116"/>
      <c r="E16" s="124"/>
      <c r="F16" s="116"/>
      <c r="G16" s="153"/>
      <c r="H16" s="152"/>
      <c r="I16" s="153"/>
      <c r="J16" s="152"/>
      <c r="K16" s="153"/>
      <c r="L16" s="152"/>
      <c r="M16" s="153"/>
      <c r="N16" s="114"/>
    </row>
    <row r="17" spans="2:14" ht="14.25">
      <c r="B17" s="89" t="s">
        <v>47</v>
      </c>
      <c r="C17" s="151" t="s">
        <v>19</v>
      </c>
      <c r="D17" s="117"/>
      <c r="E17" s="124">
        <f>Emissions!G20</f>
        <v>0.01</v>
      </c>
      <c r="F17" s="116"/>
      <c r="G17" s="151" t="s">
        <v>19</v>
      </c>
      <c r="H17" s="152"/>
      <c r="I17" s="151" t="s">
        <v>19</v>
      </c>
      <c r="J17" s="152"/>
      <c r="K17" s="151" t="s">
        <v>19</v>
      </c>
      <c r="L17" s="152"/>
      <c r="M17" s="151" t="s">
        <v>19</v>
      </c>
      <c r="N17" s="114"/>
    </row>
    <row r="18" spans="2:14" ht="14.25">
      <c r="B18" s="112"/>
      <c r="C18" s="153"/>
      <c r="D18" s="116"/>
      <c r="E18" s="116"/>
      <c r="F18" s="116"/>
      <c r="G18" s="136"/>
      <c r="H18" s="152"/>
      <c r="I18" s="136"/>
      <c r="J18" s="152"/>
      <c r="K18" s="136"/>
      <c r="L18" s="152"/>
      <c r="M18" s="136"/>
      <c r="N18" s="114"/>
    </row>
    <row r="19" spans="2:14" ht="15">
      <c r="B19" s="154" t="s">
        <v>43</v>
      </c>
      <c r="C19" s="155">
        <f>SUM(C12:C16)</f>
        <v>0</v>
      </c>
      <c r="D19" s="155"/>
      <c r="E19" s="156">
        <f>SUM(E13:E17)</f>
        <v>4.391219000000001</v>
      </c>
      <c r="F19" s="155"/>
      <c r="G19" s="155">
        <f>SUM(G12:G16)</f>
        <v>0</v>
      </c>
      <c r="H19" s="155"/>
      <c r="I19" s="155">
        <f>SUM(I12:I16)</f>
        <v>0</v>
      </c>
      <c r="J19" s="155"/>
      <c r="K19" s="155">
        <f>SUM(K12:K16)</f>
        <v>0</v>
      </c>
      <c r="L19" s="155"/>
      <c r="M19" s="155">
        <f>SUM(M12:M16)</f>
        <v>0</v>
      </c>
      <c r="N19" s="117"/>
    </row>
    <row r="21" spans="3:14" ht="14.25">
      <c r="C21" s="142"/>
      <c r="D21" s="117"/>
      <c r="E21" s="117"/>
      <c r="F21" s="117"/>
      <c r="G21" s="117"/>
      <c r="H21" s="117"/>
      <c r="I21" s="117"/>
      <c r="J21" s="117"/>
      <c r="K21" s="117"/>
      <c r="L21" s="117"/>
      <c r="M21" s="117"/>
      <c r="N21" s="117"/>
    </row>
    <row r="23" spans="2:14" ht="15">
      <c r="B23" s="141" t="s">
        <v>132</v>
      </c>
      <c r="C23" s="142"/>
      <c r="D23" s="117"/>
      <c r="E23" s="117"/>
      <c r="F23" s="117"/>
      <c r="G23" s="117"/>
      <c r="H23" s="117"/>
      <c r="I23" s="117"/>
      <c r="J23" s="117"/>
      <c r="K23" s="117"/>
      <c r="L23" s="117"/>
      <c r="M23" s="117"/>
      <c r="N23" s="117"/>
    </row>
    <row r="24" ht="15" thickBot="1"/>
    <row r="25" spans="2:14" ht="15" thickBot="1">
      <c r="B25" s="143" t="s">
        <v>6</v>
      </c>
      <c r="C25" s="144" t="s">
        <v>28</v>
      </c>
      <c r="D25" s="145"/>
      <c r="E25" s="145" t="s">
        <v>29</v>
      </c>
      <c r="F25" s="145"/>
      <c r="G25" s="145" t="s">
        <v>30</v>
      </c>
      <c r="H25" s="145"/>
      <c r="I25" s="145" t="s">
        <v>31</v>
      </c>
      <c r="J25" s="145"/>
      <c r="K25" s="145" t="s">
        <v>32</v>
      </c>
      <c r="L25" s="145"/>
      <c r="M25" s="146" t="s">
        <v>200</v>
      </c>
      <c r="N25" s="117"/>
    </row>
    <row r="26" spans="2:14" ht="14.25">
      <c r="B26" s="147"/>
      <c r="C26" s="148"/>
      <c r="D26" s="117"/>
      <c r="E26" s="117"/>
      <c r="F26" s="117"/>
      <c r="G26" s="117"/>
      <c r="H26" s="117"/>
      <c r="I26" s="117"/>
      <c r="J26" s="117"/>
      <c r="K26" s="117"/>
      <c r="L26" s="117"/>
      <c r="M26" s="117"/>
      <c r="N26" s="117"/>
    </row>
    <row r="27" spans="2:14" ht="14.25">
      <c r="B27" s="112" t="s">
        <v>20</v>
      </c>
      <c r="C27" s="151" t="s">
        <v>19</v>
      </c>
      <c r="D27" s="117"/>
      <c r="E27" s="124">
        <f>Emissions!H17</f>
        <v>0.08179996750000001</v>
      </c>
      <c r="F27" s="117"/>
      <c r="G27" s="151" t="s">
        <v>19</v>
      </c>
      <c r="H27" s="117"/>
      <c r="I27" s="151" t="s">
        <v>19</v>
      </c>
      <c r="J27" s="117"/>
      <c r="K27" s="151" t="s">
        <v>19</v>
      </c>
      <c r="L27" s="117"/>
      <c r="M27" s="151" t="s">
        <v>19</v>
      </c>
      <c r="N27" s="117"/>
    </row>
    <row r="28" spans="2:14" ht="14.25">
      <c r="B28" s="89"/>
      <c r="C28" s="153"/>
      <c r="D28" s="117"/>
      <c r="F28" s="117"/>
      <c r="G28" s="153"/>
      <c r="H28" s="117"/>
      <c r="I28" s="153"/>
      <c r="J28" s="117"/>
      <c r="K28" s="153"/>
      <c r="L28" s="117"/>
      <c r="M28" s="153"/>
      <c r="N28" s="117"/>
    </row>
    <row r="29" spans="2:14" ht="14.25">
      <c r="B29" s="112" t="s">
        <v>131</v>
      </c>
      <c r="C29" s="151" t="s">
        <v>19</v>
      </c>
      <c r="D29" s="117"/>
      <c r="E29" s="124">
        <f>Emissions!H18</f>
        <v>0.7177725000000003</v>
      </c>
      <c r="F29" s="117"/>
      <c r="G29" s="151" t="s">
        <v>19</v>
      </c>
      <c r="H29" s="117"/>
      <c r="I29" s="151" t="s">
        <v>19</v>
      </c>
      <c r="J29" s="117"/>
      <c r="K29" s="151" t="s">
        <v>19</v>
      </c>
      <c r="L29" s="117"/>
      <c r="M29" s="151" t="s">
        <v>19</v>
      </c>
      <c r="N29" s="117"/>
    </row>
    <row r="30" spans="2:14" ht="14.25">
      <c r="B30" s="89"/>
      <c r="C30" s="153"/>
      <c r="D30" s="117"/>
      <c r="E30" s="124"/>
      <c r="F30" s="117"/>
      <c r="G30" s="153"/>
      <c r="H30" s="117"/>
      <c r="I30" s="153"/>
      <c r="J30" s="117"/>
      <c r="K30" s="153"/>
      <c r="L30" s="117"/>
      <c r="M30" s="153"/>
      <c r="N30" s="117"/>
    </row>
    <row r="31" spans="2:14" ht="14.25">
      <c r="B31" s="89" t="s">
        <v>47</v>
      </c>
      <c r="C31" s="151" t="s">
        <v>19</v>
      </c>
      <c r="D31" s="117"/>
      <c r="E31" s="124">
        <f>Emissions!H20</f>
        <v>0</v>
      </c>
      <c r="F31" s="117"/>
      <c r="G31" s="151" t="s">
        <v>19</v>
      </c>
      <c r="H31" s="117"/>
      <c r="I31" s="151" t="s">
        <v>19</v>
      </c>
      <c r="J31" s="117"/>
      <c r="K31" s="151" t="s">
        <v>19</v>
      </c>
      <c r="L31" s="117"/>
      <c r="M31" s="151" t="s">
        <v>19</v>
      </c>
      <c r="N31" s="117"/>
    </row>
    <row r="32" spans="2:14" ht="14.25">
      <c r="B32" s="89"/>
      <c r="C32" s="153"/>
      <c r="D32" s="117"/>
      <c r="E32" s="124"/>
      <c r="F32" s="117"/>
      <c r="G32" s="135"/>
      <c r="H32" s="117"/>
      <c r="I32" s="135"/>
      <c r="J32" s="117"/>
      <c r="K32" s="135"/>
      <c r="L32" s="117"/>
      <c r="M32" s="135"/>
      <c r="N32" s="117"/>
    </row>
    <row r="33" spans="2:14" ht="15">
      <c r="B33" s="154" t="s">
        <v>44</v>
      </c>
      <c r="C33" s="157">
        <f>SUM(C26:C30)</f>
        <v>0</v>
      </c>
      <c r="D33" s="157"/>
      <c r="E33" s="156">
        <f>SUM(E26:E31)</f>
        <v>0.7995724675000002</v>
      </c>
      <c r="F33" s="157"/>
      <c r="G33" s="157">
        <f>SUM(G26:G30)</f>
        <v>0</v>
      </c>
      <c r="H33" s="157"/>
      <c r="I33" s="157">
        <f>SUM(I26:I30)</f>
        <v>0</v>
      </c>
      <c r="J33" s="157"/>
      <c r="K33" s="157">
        <f>SUM(K26:K30)</f>
        <v>0</v>
      </c>
      <c r="L33" s="157"/>
      <c r="M33" s="157">
        <f>SUM(M26:M30)</f>
        <v>0</v>
      </c>
      <c r="N33" s="117"/>
    </row>
    <row r="34" spans="3:14" ht="14.25">
      <c r="C34" s="142"/>
      <c r="D34" s="117"/>
      <c r="E34" s="117"/>
      <c r="F34" s="117"/>
      <c r="G34" s="117"/>
      <c r="H34" s="117"/>
      <c r="I34" s="117"/>
      <c r="J34" s="117"/>
      <c r="K34" s="117"/>
      <c r="L34" s="117"/>
      <c r="M34" s="117"/>
      <c r="N34" s="117"/>
    </row>
    <row r="35" spans="2:14" ht="14.25">
      <c r="B35" s="117"/>
      <c r="C35" s="142"/>
      <c r="D35" s="117"/>
      <c r="E35" s="117"/>
      <c r="F35" s="117"/>
      <c r="G35" s="117"/>
      <c r="H35" s="117"/>
      <c r="I35" s="117"/>
      <c r="J35" s="117"/>
      <c r="K35" s="117"/>
      <c r="L35" s="117"/>
      <c r="M35" s="117"/>
      <c r="N35" s="117"/>
    </row>
    <row r="36" spans="2:14" ht="14.25">
      <c r="B36" s="117"/>
      <c r="C36" s="142"/>
      <c r="D36" s="117"/>
      <c r="E36" s="117"/>
      <c r="F36" s="117"/>
      <c r="G36" s="117"/>
      <c r="H36" s="117"/>
      <c r="I36" s="117"/>
      <c r="J36" s="117"/>
      <c r="K36" s="117"/>
      <c r="L36" s="117"/>
      <c r="M36" s="117"/>
      <c r="N36" s="117"/>
    </row>
    <row r="37" spans="2:14" ht="14.25">
      <c r="B37" s="117"/>
      <c r="C37" s="142"/>
      <c r="D37" s="117"/>
      <c r="E37" s="117"/>
      <c r="F37" s="117"/>
      <c r="G37" s="117"/>
      <c r="H37" s="117"/>
      <c r="I37" s="117"/>
      <c r="J37" s="117"/>
      <c r="K37" s="117"/>
      <c r="L37" s="117"/>
      <c r="M37" s="117"/>
      <c r="N37" s="117"/>
    </row>
    <row r="38" spans="2:14" ht="14.25">
      <c r="B38" s="117"/>
      <c r="C38" s="142"/>
      <c r="D38" s="117"/>
      <c r="E38" s="117"/>
      <c r="F38" s="117"/>
      <c r="G38" s="117"/>
      <c r="H38" s="117"/>
      <c r="I38" s="117"/>
      <c r="J38" s="117"/>
      <c r="K38" s="117"/>
      <c r="L38" s="117"/>
      <c r="M38" s="117"/>
      <c r="N38" s="117"/>
    </row>
    <row r="39" spans="2:14" ht="14.25">
      <c r="B39" s="117"/>
      <c r="C39" s="142"/>
      <c r="D39" s="117"/>
      <c r="E39" s="117"/>
      <c r="F39" s="117"/>
      <c r="G39" s="117"/>
      <c r="H39" s="117"/>
      <c r="I39" s="117"/>
      <c r="J39" s="117"/>
      <c r="K39" s="117"/>
      <c r="L39" s="117"/>
      <c r="M39" s="117"/>
      <c r="N39" s="117"/>
    </row>
    <row r="40" spans="2:14" ht="14.25">
      <c r="B40" s="117"/>
      <c r="C40" s="142"/>
      <c r="D40" s="117"/>
      <c r="E40" s="117"/>
      <c r="F40" s="117"/>
      <c r="G40" s="117"/>
      <c r="H40" s="117"/>
      <c r="I40" s="117"/>
      <c r="J40" s="117"/>
      <c r="K40" s="117"/>
      <c r="L40" s="117"/>
      <c r="M40" s="117"/>
      <c r="N40" s="117"/>
    </row>
    <row r="41" spans="2:14" ht="14.25">
      <c r="B41" s="117"/>
      <c r="C41" s="142"/>
      <c r="D41" s="117"/>
      <c r="E41" s="117"/>
      <c r="F41" s="117"/>
      <c r="G41" s="117"/>
      <c r="H41" s="117"/>
      <c r="I41" s="117"/>
      <c r="J41" s="117"/>
      <c r="K41" s="117"/>
      <c r="L41" s="117"/>
      <c r="M41" s="117"/>
      <c r="N41" s="117"/>
    </row>
    <row r="42" spans="2:14" ht="14.25">
      <c r="B42" s="117"/>
      <c r="C42" s="142"/>
      <c r="D42" s="117"/>
      <c r="E42" s="117"/>
      <c r="F42" s="117"/>
      <c r="G42" s="117"/>
      <c r="H42" s="117"/>
      <c r="I42" s="117"/>
      <c r="J42" s="117"/>
      <c r="K42" s="117"/>
      <c r="L42" s="117"/>
      <c r="M42" s="117"/>
      <c r="N42" s="117"/>
    </row>
    <row r="43" spans="2:14" ht="14.25">
      <c r="B43" s="117"/>
      <c r="C43" s="142"/>
      <c r="D43" s="117"/>
      <c r="E43" s="117"/>
      <c r="F43" s="117"/>
      <c r="G43" s="117"/>
      <c r="H43" s="117"/>
      <c r="I43" s="117"/>
      <c r="J43" s="117"/>
      <c r="K43" s="117"/>
      <c r="L43" s="117"/>
      <c r="M43" s="117"/>
      <c r="N43" s="117"/>
    </row>
    <row r="44" spans="2:14" ht="14.25">
      <c r="B44" s="117"/>
      <c r="C44" s="142"/>
      <c r="D44" s="117"/>
      <c r="E44" s="117"/>
      <c r="F44" s="117"/>
      <c r="G44" s="117"/>
      <c r="H44" s="117"/>
      <c r="I44" s="117"/>
      <c r="J44" s="117"/>
      <c r="K44" s="117"/>
      <c r="L44" s="117"/>
      <c r="M44" s="117"/>
      <c r="N44" s="117"/>
    </row>
    <row r="45" spans="2:14" ht="14.25">
      <c r="B45" s="117"/>
      <c r="C45" s="142"/>
      <c r="D45" s="117"/>
      <c r="E45" s="117"/>
      <c r="F45" s="117"/>
      <c r="G45" s="117"/>
      <c r="H45" s="117"/>
      <c r="I45" s="117"/>
      <c r="J45" s="117"/>
      <c r="K45" s="117"/>
      <c r="L45" s="117"/>
      <c r="M45" s="117"/>
      <c r="N45" s="117"/>
    </row>
    <row r="46" spans="2:14" ht="14.25">
      <c r="B46" s="117"/>
      <c r="C46" s="142"/>
      <c r="D46" s="117"/>
      <c r="E46" s="117"/>
      <c r="F46" s="117"/>
      <c r="G46" s="117"/>
      <c r="H46" s="117"/>
      <c r="I46" s="117"/>
      <c r="J46" s="117"/>
      <c r="K46" s="117"/>
      <c r="L46" s="117"/>
      <c r="M46" s="117"/>
      <c r="N46" s="117"/>
    </row>
    <row r="47" spans="2:14" ht="14.25">
      <c r="B47" s="117"/>
      <c r="C47" s="142"/>
      <c r="D47" s="117"/>
      <c r="E47" s="117"/>
      <c r="F47" s="117"/>
      <c r="G47" s="117"/>
      <c r="H47" s="117"/>
      <c r="I47" s="117"/>
      <c r="J47" s="117"/>
      <c r="K47" s="117"/>
      <c r="L47" s="117"/>
      <c r="M47" s="117"/>
      <c r="N47" s="117"/>
    </row>
    <row r="48" spans="2:14" ht="14.25">
      <c r="B48" s="117"/>
      <c r="C48" s="142"/>
      <c r="D48" s="117"/>
      <c r="E48" s="117"/>
      <c r="F48" s="117"/>
      <c r="G48" s="117"/>
      <c r="H48" s="117"/>
      <c r="I48" s="117"/>
      <c r="J48" s="117"/>
      <c r="K48" s="117"/>
      <c r="L48" s="117"/>
      <c r="M48" s="117"/>
      <c r="N48" s="117"/>
    </row>
    <row r="49" spans="2:14" ht="14.25">
      <c r="B49" s="117"/>
      <c r="C49" s="142"/>
      <c r="D49" s="117"/>
      <c r="E49" s="117"/>
      <c r="F49" s="117"/>
      <c r="G49" s="117"/>
      <c r="H49" s="117"/>
      <c r="I49" s="117"/>
      <c r="J49" s="117"/>
      <c r="K49" s="117"/>
      <c r="L49" s="117"/>
      <c r="M49" s="117"/>
      <c r="N49" s="117"/>
    </row>
    <row r="50" spans="2:14" ht="14.25">
      <c r="B50" s="117"/>
      <c r="C50" s="142"/>
      <c r="D50" s="117"/>
      <c r="E50" s="117"/>
      <c r="F50" s="117"/>
      <c r="G50" s="117"/>
      <c r="H50" s="117"/>
      <c r="I50" s="117"/>
      <c r="J50" s="117"/>
      <c r="K50" s="117"/>
      <c r="L50" s="117"/>
      <c r="M50" s="117"/>
      <c r="N50" s="117"/>
    </row>
    <row r="51" spans="2:14" ht="14.25">
      <c r="B51" s="117"/>
      <c r="C51" s="142"/>
      <c r="D51" s="117"/>
      <c r="E51" s="117"/>
      <c r="F51" s="117"/>
      <c r="G51" s="117"/>
      <c r="H51" s="117"/>
      <c r="I51" s="117"/>
      <c r="J51" s="117"/>
      <c r="K51" s="117"/>
      <c r="L51" s="117"/>
      <c r="M51" s="117"/>
      <c r="N51" s="117"/>
    </row>
    <row r="52" spans="2:14" ht="14.25">
      <c r="B52" s="117"/>
      <c r="C52" s="142"/>
      <c r="D52" s="117"/>
      <c r="E52" s="117"/>
      <c r="F52" s="117"/>
      <c r="G52" s="117"/>
      <c r="H52" s="117"/>
      <c r="I52" s="117"/>
      <c r="J52" s="117"/>
      <c r="K52" s="117"/>
      <c r="L52" s="117"/>
      <c r="M52" s="117"/>
      <c r="N52" s="117"/>
    </row>
    <row r="53" spans="2:14" ht="14.25">
      <c r="B53" s="117"/>
      <c r="C53" s="142"/>
      <c r="D53" s="117"/>
      <c r="E53" s="117"/>
      <c r="F53" s="117"/>
      <c r="G53" s="117"/>
      <c r="H53" s="117"/>
      <c r="I53" s="117"/>
      <c r="J53" s="117"/>
      <c r="K53" s="117"/>
      <c r="L53" s="117"/>
      <c r="M53" s="117"/>
      <c r="N53" s="117"/>
    </row>
    <row r="54" spans="2:14" ht="14.25">
      <c r="B54" s="117"/>
      <c r="C54" s="142"/>
      <c r="D54" s="117"/>
      <c r="E54" s="117"/>
      <c r="F54" s="117"/>
      <c r="G54" s="117"/>
      <c r="H54" s="117"/>
      <c r="I54" s="117"/>
      <c r="J54" s="117"/>
      <c r="K54" s="117"/>
      <c r="L54" s="117"/>
      <c r="M54" s="117"/>
      <c r="N54" s="117"/>
    </row>
    <row r="55" spans="2:14" ht="14.25">
      <c r="B55" s="117"/>
      <c r="C55" s="142"/>
      <c r="D55" s="117"/>
      <c r="E55" s="117"/>
      <c r="F55" s="117"/>
      <c r="G55" s="117"/>
      <c r="H55" s="117"/>
      <c r="I55" s="117"/>
      <c r="J55" s="117"/>
      <c r="K55" s="117"/>
      <c r="L55" s="117"/>
      <c r="M55" s="117"/>
      <c r="N55" s="117"/>
    </row>
    <row r="56" spans="2:14" ht="14.25">
      <c r="B56" s="117"/>
      <c r="C56" s="142"/>
      <c r="D56" s="117"/>
      <c r="E56" s="117"/>
      <c r="F56" s="117"/>
      <c r="G56" s="117"/>
      <c r="H56" s="117"/>
      <c r="I56" s="117"/>
      <c r="J56" s="117"/>
      <c r="K56" s="117"/>
      <c r="L56" s="117"/>
      <c r="M56" s="117"/>
      <c r="N56" s="117"/>
    </row>
    <row r="57" spans="2:14" ht="14.25">
      <c r="B57" s="117"/>
      <c r="C57" s="142"/>
      <c r="D57" s="117"/>
      <c r="E57" s="117"/>
      <c r="F57" s="117"/>
      <c r="G57" s="117"/>
      <c r="H57" s="117"/>
      <c r="I57" s="117"/>
      <c r="J57" s="117"/>
      <c r="K57" s="117"/>
      <c r="L57" s="117"/>
      <c r="M57" s="117"/>
      <c r="N57" s="117"/>
    </row>
    <row r="58" spans="2:14" ht="14.25">
      <c r="B58" s="117"/>
      <c r="C58" s="142"/>
      <c r="D58" s="117"/>
      <c r="E58" s="117"/>
      <c r="F58" s="117"/>
      <c r="G58" s="117"/>
      <c r="H58" s="117"/>
      <c r="I58" s="117"/>
      <c r="J58" s="117"/>
      <c r="K58" s="117"/>
      <c r="L58" s="117"/>
      <c r="M58" s="117"/>
      <c r="N58" s="117"/>
    </row>
    <row r="59" spans="2:14" ht="14.25">
      <c r="B59" s="117"/>
      <c r="C59" s="142"/>
      <c r="D59" s="117"/>
      <c r="E59" s="117"/>
      <c r="F59" s="117"/>
      <c r="G59" s="117"/>
      <c r="H59" s="117"/>
      <c r="I59" s="117"/>
      <c r="J59" s="117"/>
      <c r="K59" s="117"/>
      <c r="L59" s="117"/>
      <c r="M59" s="117"/>
      <c r="N59" s="117"/>
    </row>
    <row r="60" spans="2:14" ht="14.25">
      <c r="B60" s="117"/>
      <c r="C60" s="142"/>
      <c r="D60" s="117"/>
      <c r="E60" s="117"/>
      <c r="F60" s="117"/>
      <c r="G60" s="117"/>
      <c r="H60" s="117"/>
      <c r="I60" s="117"/>
      <c r="J60" s="117"/>
      <c r="K60" s="117"/>
      <c r="L60" s="117"/>
      <c r="M60" s="117"/>
      <c r="N60" s="117"/>
    </row>
    <row r="61" spans="2:14" ht="14.25">
      <c r="B61" s="117"/>
      <c r="C61" s="142"/>
      <c r="D61" s="117"/>
      <c r="E61" s="117"/>
      <c r="F61" s="117"/>
      <c r="G61" s="117"/>
      <c r="H61" s="117"/>
      <c r="I61" s="117"/>
      <c r="J61" s="117"/>
      <c r="K61" s="117"/>
      <c r="L61" s="117"/>
      <c r="M61" s="117"/>
      <c r="N61" s="117"/>
    </row>
    <row r="62" spans="2:14" ht="14.25">
      <c r="B62" s="117"/>
      <c r="C62" s="142"/>
      <c r="D62" s="117"/>
      <c r="E62" s="117"/>
      <c r="F62" s="117"/>
      <c r="G62" s="117"/>
      <c r="H62" s="117"/>
      <c r="I62" s="117"/>
      <c r="J62" s="117"/>
      <c r="K62" s="117"/>
      <c r="L62" s="117"/>
      <c r="M62" s="117"/>
      <c r="N62" s="117"/>
    </row>
    <row r="63" spans="2:14" ht="14.25">
      <c r="B63" s="117"/>
      <c r="C63" s="142"/>
      <c r="D63" s="117"/>
      <c r="E63" s="117"/>
      <c r="F63" s="117"/>
      <c r="G63" s="117"/>
      <c r="H63" s="117"/>
      <c r="I63" s="117"/>
      <c r="J63" s="117"/>
      <c r="K63" s="117"/>
      <c r="L63" s="117"/>
      <c r="M63" s="117"/>
      <c r="N63" s="117"/>
    </row>
    <row r="64" spans="2:14" ht="14.25">
      <c r="B64" s="117"/>
      <c r="C64" s="142"/>
      <c r="D64" s="117"/>
      <c r="E64" s="117"/>
      <c r="F64" s="117"/>
      <c r="G64" s="117"/>
      <c r="H64" s="117"/>
      <c r="I64" s="117"/>
      <c r="J64" s="117"/>
      <c r="K64" s="117"/>
      <c r="L64" s="117"/>
      <c r="M64" s="117"/>
      <c r="N64" s="117"/>
    </row>
    <row r="65" spans="2:14" ht="14.25">
      <c r="B65" s="117"/>
      <c r="C65" s="142"/>
      <c r="D65" s="117"/>
      <c r="E65" s="117"/>
      <c r="F65" s="117"/>
      <c r="G65" s="117"/>
      <c r="H65" s="117"/>
      <c r="I65" s="117"/>
      <c r="J65" s="117"/>
      <c r="K65" s="117"/>
      <c r="L65" s="117"/>
      <c r="M65" s="117"/>
      <c r="N65" s="117"/>
    </row>
    <row r="66" spans="2:14" ht="14.25">
      <c r="B66" s="117"/>
      <c r="C66" s="142"/>
      <c r="D66" s="117"/>
      <c r="E66" s="117"/>
      <c r="F66" s="117"/>
      <c r="G66" s="117"/>
      <c r="H66" s="117"/>
      <c r="I66" s="117"/>
      <c r="J66" s="117"/>
      <c r="K66" s="117"/>
      <c r="L66" s="117"/>
      <c r="M66" s="117"/>
      <c r="N66" s="117"/>
    </row>
    <row r="67" spans="2:14" ht="14.25">
      <c r="B67" s="117"/>
      <c r="C67" s="142"/>
      <c r="D67" s="117"/>
      <c r="E67" s="117"/>
      <c r="F67" s="117"/>
      <c r="G67" s="117"/>
      <c r="H67" s="117"/>
      <c r="I67" s="117"/>
      <c r="J67" s="117"/>
      <c r="K67" s="117"/>
      <c r="L67" s="117"/>
      <c r="M67" s="117"/>
      <c r="N67" s="117"/>
    </row>
    <row r="68" spans="2:14" ht="14.25">
      <c r="B68" s="117"/>
      <c r="C68" s="142"/>
      <c r="D68" s="117"/>
      <c r="E68" s="117"/>
      <c r="F68" s="117"/>
      <c r="G68" s="117"/>
      <c r="H68" s="117"/>
      <c r="I68" s="117"/>
      <c r="J68" s="117"/>
      <c r="K68" s="117"/>
      <c r="L68" s="117"/>
      <c r="M68" s="117"/>
      <c r="N68" s="117"/>
    </row>
    <row r="69" spans="2:14" ht="14.25">
      <c r="B69" s="117"/>
      <c r="C69" s="142"/>
      <c r="D69" s="117"/>
      <c r="E69" s="117"/>
      <c r="F69" s="117"/>
      <c r="G69" s="117"/>
      <c r="H69" s="117"/>
      <c r="I69" s="117"/>
      <c r="J69" s="117"/>
      <c r="K69" s="117"/>
      <c r="L69" s="117"/>
      <c r="M69" s="117"/>
      <c r="N69" s="117"/>
    </row>
    <row r="70" spans="2:14" ht="14.25">
      <c r="B70" s="117"/>
      <c r="C70" s="142"/>
      <c r="D70" s="117"/>
      <c r="E70" s="117"/>
      <c r="F70" s="117"/>
      <c r="G70" s="117"/>
      <c r="H70" s="117"/>
      <c r="I70" s="117"/>
      <c r="J70" s="117"/>
      <c r="K70" s="117"/>
      <c r="L70" s="117"/>
      <c r="M70" s="117"/>
      <c r="N70" s="117"/>
    </row>
    <row r="71" spans="2:14" ht="14.25">
      <c r="B71" s="117"/>
      <c r="C71" s="142"/>
      <c r="D71" s="117"/>
      <c r="E71" s="117"/>
      <c r="F71" s="117"/>
      <c r="G71" s="117"/>
      <c r="H71" s="117"/>
      <c r="I71" s="117"/>
      <c r="J71" s="117"/>
      <c r="K71" s="117"/>
      <c r="L71" s="117"/>
      <c r="M71" s="117"/>
      <c r="N71" s="117"/>
    </row>
    <row r="72" spans="2:14" ht="14.25">
      <c r="B72" s="117"/>
      <c r="C72" s="142"/>
      <c r="D72" s="117"/>
      <c r="E72" s="117"/>
      <c r="F72" s="117"/>
      <c r="G72" s="117"/>
      <c r="H72" s="117"/>
      <c r="I72" s="117"/>
      <c r="J72" s="117"/>
      <c r="K72" s="117"/>
      <c r="L72" s="117"/>
      <c r="M72" s="117"/>
      <c r="N72" s="117"/>
    </row>
    <row r="73" spans="2:14" ht="14.25">
      <c r="B73" s="117"/>
      <c r="C73" s="142"/>
      <c r="D73" s="117"/>
      <c r="E73" s="117"/>
      <c r="F73" s="117"/>
      <c r="G73" s="117"/>
      <c r="H73" s="117"/>
      <c r="I73" s="117"/>
      <c r="J73" s="117"/>
      <c r="K73" s="117"/>
      <c r="L73" s="117"/>
      <c r="M73" s="117"/>
      <c r="N73" s="117"/>
    </row>
    <row r="74" spans="2:14" ht="14.25">
      <c r="B74" s="117"/>
      <c r="C74" s="142"/>
      <c r="D74" s="117"/>
      <c r="E74" s="117"/>
      <c r="F74" s="117"/>
      <c r="G74" s="117"/>
      <c r="H74" s="117"/>
      <c r="I74" s="117"/>
      <c r="J74" s="117"/>
      <c r="K74" s="117"/>
      <c r="L74" s="117"/>
      <c r="M74" s="117"/>
      <c r="N74" s="117"/>
    </row>
    <row r="75" spans="2:14" ht="14.25">
      <c r="B75" s="117"/>
      <c r="C75" s="142"/>
      <c r="D75" s="117"/>
      <c r="E75" s="117"/>
      <c r="F75" s="117"/>
      <c r="G75" s="117"/>
      <c r="H75" s="117"/>
      <c r="I75" s="117"/>
      <c r="J75" s="117"/>
      <c r="K75" s="117"/>
      <c r="L75" s="117"/>
      <c r="M75" s="117"/>
      <c r="N75" s="117"/>
    </row>
    <row r="76" spans="2:14" ht="14.25">
      <c r="B76" s="117"/>
      <c r="C76" s="142"/>
      <c r="D76" s="117"/>
      <c r="E76" s="117"/>
      <c r="F76" s="117"/>
      <c r="G76" s="117"/>
      <c r="H76" s="117"/>
      <c r="I76" s="117"/>
      <c r="J76" s="117"/>
      <c r="K76" s="117"/>
      <c r="L76" s="117"/>
      <c r="M76" s="117"/>
      <c r="N76" s="117"/>
    </row>
    <row r="77" spans="2:14" ht="14.25">
      <c r="B77" s="117"/>
      <c r="C77" s="142"/>
      <c r="D77" s="117"/>
      <c r="E77" s="117"/>
      <c r="F77" s="117"/>
      <c r="G77" s="117"/>
      <c r="H77" s="117"/>
      <c r="I77" s="117"/>
      <c r="J77" s="117"/>
      <c r="K77" s="117"/>
      <c r="L77" s="117"/>
      <c r="M77" s="117"/>
      <c r="N77" s="117"/>
    </row>
    <row r="78" spans="2:14" ht="14.25">
      <c r="B78" s="117"/>
      <c r="C78" s="142"/>
      <c r="D78" s="117"/>
      <c r="E78" s="117"/>
      <c r="F78" s="117"/>
      <c r="G78" s="117"/>
      <c r="H78" s="117"/>
      <c r="I78" s="117"/>
      <c r="J78" s="117"/>
      <c r="K78" s="117"/>
      <c r="L78" s="117"/>
      <c r="M78" s="117"/>
      <c r="N78" s="117"/>
    </row>
    <row r="79" spans="2:14" ht="14.25">
      <c r="B79" s="117"/>
      <c r="C79" s="142"/>
      <c r="D79" s="117"/>
      <c r="E79" s="117"/>
      <c r="F79" s="117"/>
      <c r="G79" s="117"/>
      <c r="H79" s="117"/>
      <c r="I79" s="117"/>
      <c r="J79" s="117"/>
      <c r="K79" s="117"/>
      <c r="L79" s="117"/>
      <c r="M79" s="117"/>
      <c r="N79" s="117"/>
    </row>
    <row r="80" spans="2:14" ht="14.25">
      <c r="B80" s="117"/>
      <c r="C80" s="142"/>
      <c r="D80" s="117"/>
      <c r="E80" s="117"/>
      <c r="F80" s="117"/>
      <c r="G80" s="117"/>
      <c r="H80" s="117"/>
      <c r="I80" s="117"/>
      <c r="J80" s="117"/>
      <c r="K80" s="117"/>
      <c r="L80" s="117"/>
      <c r="M80" s="117"/>
      <c r="N80" s="117"/>
    </row>
    <row r="81" spans="3:14" ht="14.25">
      <c r="C81" s="142"/>
      <c r="D81" s="117"/>
      <c r="E81" s="117"/>
      <c r="F81" s="117"/>
      <c r="G81" s="117"/>
      <c r="H81" s="117"/>
      <c r="I81" s="117"/>
      <c r="J81" s="117"/>
      <c r="K81" s="117"/>
      <c r="L81" s="117"/>
      <c r="M81" s="117"/>
      <c r="N81" s="117"/>
    </row>
    <row r="82" spans="3:14" ht="14.25">
      <c r="C82" s="142"/>
      <c r="D82" s="117"/>
      <c r="E82" s="117"/>
      <c r="F82" s="117"/>
      <c r="G82" s="117"/>
      <c r="H82" s="117"/>
      <c r="I82" s="117"/>
      <c r="J82" s="117"/>
      <c r="K82" s="117"/>
      <c r="L82" s="117"/>
      <c r="M82" s="117"/>
      <c r="N82" s="117"/>
    </row>
    <row r="83" spans="3:14" ht="14.25">
      <c r="C83" s="142"/>
      <c r="D83" s="117"/>
      <c r="E83" s="117"/>
      <c r="F83" s="117"/>
      <c r="G83" s="117"/>
      <c r="H83" s="117"/>
      <c r="I83" s="117"/>
      <c r="J83" s="117"/>
      <c r="K83" s="117"/>
      <c r="L83" s="117"/>
      <c r="M83" s="117"/>
      <c r="N83" s="117"/>
    </row>
    <row r="84" spans="3:14" ht="14.25">
      <c r="C84" s="142"/>
      <c r="D84" s="117"/>
      <c r="E84" s="117"/>
      <c r="F84" s="117"/>
      <c r="G84" s="117"/>
      <c r="H84" s="117"/>
      <c r="I84" s="117"/>
      <c r="J84" s="117"/>
      <c r="K84" s="117"/>
      <c r="L84" s="117"/>
      <c r="M84" s="117"/>
      <c r="N84" s="117"/>
    </row>
    <row r="85" spans="3:14" ht="14.25">
      <c r="C85" s="142"/>
      <c r="D85" s="117"/>
      <c r="E85" s="117"/>
      <c r="F85" s="117"/>
      <c r="G85" s="117"/>
      <c r="H85" s="117"/>
      <c r="I85" s="117"/>
      <c r="J85" s="117"/>
      <c r="K85" s="117"/>
      <c r="L85" s="117"/>
      <c r="M85" s="117"/>
      <c r="N85" s="117"/>
    </row>
    <row r="86" spans="3:14" ht="14.25">
      <c r="C86" s="142"/>
      <c r="D86" s="117"/>
      <c r="E86" s="117"/>
      <c r="F86" s="117"/>
      <c r="G86" s="117"/>
      <c r="H86" s="117"/>
      <c r="I86" s="117"/>
      <c r="J86" s="117"/>
      <c r="K86" s="117"/>
      <c r="L86" s="117"/>
      <c r="M86" s="117"/>
      <c r="N86" s="117"/>
    </row>
    <row r="87" spans="3:14" ht="14.25">
      <c r="C87" s="142"/>
      <c r="D87" s="117"/>
      <c r="E87" s="117"/>
      <c r="F87" s="117"/>
      <c r="G87" s="117"/>
      <c r="H87" s="117"/>
      <c r="I87" s="117"/>
      <c r="J87" s="117"/>
      <c r="K87" s="117"/>
      <c r="L87" s="117"/>
      <c r="M87" s="117"/>
      <c r="N87" s="117"/>
    </row>
    <row r="88" spans="3:14" ht="14.25">
      <c r="C88" s="142"/>
      <c r="D88" s="117"/>
      <c r="E88" s="117"/>
      <c r="F88" s="117"/>
      <c r="G88" s="117"/>
      <c r="H88" s="117"/>
      <c r="I88" s="117"/>
      <c r="J88" s="117"/>
      <c r="K88" s="117"/>
      <c r="L88" s="117"/>
      <c r="M88" s="117"/>
      <c r="N88" s="117"/>
    </row>
    <row r="89" spans="3:14" ht="14.25">
      <c r="C89" s="142"/>
      <c r="D89" s="117"/>
      <c r="E89" s="117"/>
      <c r="F89" s="117"/>
      <c r="G89" s="117"/>
      <c r="H89" s="117"/>
      <c r="I89" s="117"/>
      <c r="J89" s="117"/>
      <c r="K89" s="117"/>
      <c r="L89" s="117"/>
      <c r="M89" s="117"/>
      <c r="N89" s="117"/>
    </row>
    <row r="90" spans="3:14" ht="14.25">
      <c r="C90" s="142"/>
      <c r="D90" s="117"/>
      <c r="E90" s="117"/>
      <c r="F90" s="117"/>
      <c r="G90" s="117"/>
      <c r="H90" s="117"/>
      <c r="I90" s="117"/>
      <c r="J90" s="117"/>
      <c r="K90" s="117"/>
      <c r="L90" s="117"/>
      <c r="M90" s="117"/>
      <c r="N90" s="117"/>
    </row>
    <row r="91" spans="3:14" ht="14.25">
      <c r="C91" s="142"/>
      <c r="D91" s="117"/>
      <c r="E91" s="117"/>
      <c r="F91" s="117"/>
      <c r="G91" s="117"/>
      <c r="H91" s="117"/>
      <c r="I91" s="117"/>
      <c r="J91" s="117"/>
      <c r="K91" s="117"/>
      <c r="L91" s="117"/>
      <c r="M91" s="117"/>
      <c r="N91" s="117"/>
    </row>
    <row r="92" spans="3:14" ht="14.25">
      <c r="C92" s="142"/>
      <c r="D92" s="117"/>
      <c r="E92" s="117"/>
      <c r="F92" s="117"/>
      <c r="G92" s="117"/>
      <c r="H92" s="117"/>
      <c r="I92" s="117"/>
      <c r="J92" s="117"/>
      <c r="K92" s="117"/>
      <c r="L92" s="117"/>
      <c r="M92" s="117"/>
      <c r="N92" s="117"/>
    </row>
    <row r="93" spans="3:14" ht="14.25">
      <c r="C93" s="142"/>
      <c r="D93" s="117"/>
      <c r="E93" s="117"/>
      <c r="F93" s="117"/>
      <c r="G93" s="117"/>
      <c r="H93" s="117"/>
      <c r="I93" s="117"/>
      <c r="J93" s="117"/>
      <c r="K93" s="117"/>
      <c r="L93" s="117"/>
      <c r="M93" s="117"/>
      <c r="N93" s="117"/>
    </row>
    <row r="94" spans="3:14" ht="14.25">
      <c r="C94" s="142"/>
      <c r="D94" s="117"/>
      <c r="E94" s="117"/>
      <c r="F94" s="117"/>
      <c r="G94" s="117"/>
      <c r="H94" s="117"/>
      <c r="I94" s="117"/>
      <c r="J94" s="117"/>
      <c r="K94" s="117"/>
      <c r="L94" s="117"/>
      <c r="M94" s="117"/>
      <c r="N94" s="117"/>
    </row>
    <row r="95" spans="3:14" ht="14.25">
      <c r="C95" s="142"/>
      <c r="D95" s="117"/>
      <c r="E95" s="117"/>
      <c r="F95" s="117"/>
      <c r="G95" s="117"/>
      <c r="H95" s="117"/>
      <c r="I95" s="117"/>
      <c r="J95" s="117"/>
      <c r="K95" s="117"/>
      <c r="L95" s="117"/>
      <c r="M95" s="117"/>
      <c r="N95" s="117"/>
    </row>
    <row r="96" spans="3:14" ht="14.25">
      <c r="C96" s="142"/>
      <c r="D96" s="117"/>
      <c r="E96" s="117"/>
      <c r="F96" s="117"/>
      <c r="G96" s="117"/>
      <c r="H96" s="117"/>
      <c r="I96" s="117"/>
      <c r="J96" s="117"/>
      <c r="K96" s="117"/>
      <c r="L96" s="117"/>
      <c r="M96" s="117"/>
      <c r="N96" s="117"/>
    </row>
    <row r="97" spans="3:14" ht="14.25">
      <c r="C97" s="142"/>
      <c r="D97" s="117"/>
      <c r="E97" s="117"/>
      <c r="F97" s="117"/>
      <c r="G97" s="117"/>
      <c r="H97" s="117"/>
      <c r="I97" s="117"/>
      <c r="J97" s="117"/>
      <c r="K97" s="117"/>
      <c r="L97" s="117"/>
      <c r="M97" s="117"/>
      <c r="N97" s="117"/>
    </row>
    <row r="98" spans="3:14" ht="14.25">
      <c r="C98" s="142"/>
      <c r="D98" s="117"/>
      <c r="E98" s="117"/>
      <c r="F98" s="117"/>
      <c r="G98" s="117"/>
      <c r="H98" s="117"/>
      <c r="I98" s="117"/>
      <c r="J98" s="117"/>
      <c r="K98" s="117"/>
      <c r="L98" s="117"/>
      <c r="M98" s="117"/>
      <c r="N98" s="117"/>
    </row>
    <row r="99" spans="4:14" ht="14.25">
      <c r="D99" s="117"/>
      <c r="E99" s="117"/>
      <c r="F99" s="117"/>
      <c r="G99" s="117"/>
      <c r="H99" s="117"/>
      <c r="I99" s="117"/>
      <c r="J99" s="117"/>
      <c r="K99" s="117"/>
      <c r="L99" s="117"/>
      <c r="M99" s="117"/>
      <c r="N99" s="117"/>
    </row>
    <row r="100" spans="4:14" ht="14.25">
      <c r="D100" s="117"/>
      <c r="E100" s="117"/>
      <c r="F100" s="117"/>
      <c r="G100" s="117"/>
      <c r="H100" s="117"/>
      <c r="I100" s="117"/>
      <c r="J100" s="117"/>
      <c r="K100" s="117"/>
      <c r="L100" s="117"/>
      <c r="M100" s="117"/>
      <c r="N100" s="117"/>
    </row>
  </sheetData>
  <sheetProtection/>
  <mergeCells count="3">
    <mergeCell ref="B2:M2"/>
    <mergeCell ref="B3:M3"/>
    <mergeCell ref="B4:M4"/>
  </mergeCells>
  <printOptions horizontalCentered="1"/>
  <pageMargins left="0.75" right="0.56" top="1" bottom="1" header="0.5" footer="0.5"/>
  <pageSetup horizontalDpi="300" verticalDpi="300" orientation="portrait" scale="67" r:id="rId1"/>
  <headerFooter alignWithMargins="0">
    <oddFooter>&amp;L&amp;"Times New Roman,Regular"Permit To Operate No. 8103 
Santa Barbara APCD</oddFooter>
  </headerFooter>
</worksheet>
</file>

<file path=xl/worksheets/sheet5.xml><?xml version="1.0" encoding="utf-8"?>
<worksheet xmlns="http://schemas.openxmlformats.org/spreadsheetml/2006/main" xmlns:r="http://schemas.openxmlformats.org/officeDocument/2006/relationships">
  <sheetPr transitionEvaluation="1"/>
  <dimension ref="B1:I98"/>
  <sheetViews>
    <sheetView showGridLines="0" zoomScale="75" zoomScaleNormal="75" zoomScalePageLayoutView="0" workbookViewId="0" topLeftCell="A1">
      <selection activeCell="A1" sqref="A1:I32"/>
    </sheetView>
  </sheetViews>
  <sheetFormatPr defaultColWidth="9.625" defaultRowHeight="12.75"/>
  <cols>
    <col min="1" max="1" width="2.50390625" style="82" customWidth="1"/>
    <col min="2" max="2" width="24.625" style="82" customWidth="1"/>
    <col min="3" max="3" width="8.375" style="140" customWidth="1"/>
    <col min="4" max="4" width="11.00390625" style="82" customWidth="1"/>
    <col min="5" max="5" width="8.50390625" style="82" customWidth="1"/>
    <col min="6" max="7" width="8.25390625" style="82" customWidth="1"/>
    <col min="8" max="8" width="8.375" style="82" customWidth="1"/>
    <col min="9" max="9" width="2.50390625" style="82" customWidth="1"/>
    <col min="10" max="10" width="10.625" style="82" customWidth="1"/>
    <col min="11" max="16384" width="9.625" style="82" customWidth="1"/>
  </cols>
  <sheetData>
    <row r="1" ht="14.25">
      <c r="B1" s="83"/>
    </row>
    <row r="2" spans="2:8" ht="15">
      <c r="B2" s="320" t="s">
        <v>45</v>
      </c>
      <c r="C2" s="320"/>
      <c r="D2" s="320"/>
      <c r="E2" s="320"/>
      <c r="F2" s="320"/>
      <c r="G2" s="320"/>
      <c r="H2" s="320"/>
    </row>
    <row r="3" spans="2:8" ht="15">
      <c r="B3" s="320" t="str">
        <f>Data!B3</f>
        <v>Beachfront Lease PT70-APCD PTO 8103 R10</v>
      </c>
      <c r="C3" s="320"/>
      <c r="D3" s="320"/>
      <c r="E3" s="320"/>
      <c r="F3" s="320"/>
      <c r="G3" s="320"/>
      <c r="H3" s="320"/>
    </row>
    <row r="4" spans="2:8" ht="15">
      <c r="B4" s="320" t="s">
        <v>156</v>
      </c>
      <c r="C4" s="320"/>
      <c r="D4" s="320"/>
      <c r="E4" s="320"/>
      <c r="F4" s="320"/>
      <c r="G4" s="320"/>
      <c r="H4" s="320"/>
    </row>
    <row r="7" spans="2:9" ht="15">
      <c r="B7" s="141" t="s">
        <v>133</v>
      </c>
      <c r="C7" s="142"/>
      <c r="D7" s="117"/>
      <c r="E7" s="117"/>
      <c r="F7" s="117"/>
      <c r="G7" s="117"/>
      <c r="H7" s="117"/>
      <c r="I7" s="117"/>
    </row>
    <row r="8" ht="15" thickBot="1"/>
    <row r="9" spans="2:9" ht="15" thickBot="1">
      <c r="B9" s="143" t="s">
        <v>6</v>
      </c>
      <c r="C9" s="144" t="s">
        <v>28</v>
      </c>
      <c r="D9" s="145" t="s">
        <v>29</v>
      </c>
      <c r="E9" s="145" t="s">
        <v>30</v>
      </c>
      <c r="F9" s="145" t="s">
        <v>31</v>
      </c>
      <c r="G9" s="145" t="s">
        <v>32</v>
      </c>
      <c r="H9" s="146" t="s">
        <v>200</v>
      </c>
      <c r="I9" s="117"/>
    </row>
    <row r="10" spans="2:9" ht="14.25">
      <c r="B10" s="147"/>
      <c r="C10" s="148"/>
      <c r="D10" s="150"/>
      <c r="E10" s="150"/>
      <c r="F10" s="150"/>
      <c r="G10" s="150"/>
      <c r="H10" s="150"/>
      <c r="I10" s="117"/>
    </row>
    <row r="11" spans="2:9" ht="14.25">
      <c r="B11" s="112" t="s">
        <v>20</v>
      </c>
      <c r="C11" s="159" t="s">
        <v>19</v>
      </c>
      <c r="D11" s="159" t="s">
        <v>19</v>
      </c>
      <c r="E11" s="159" t="s">
        <v>19</v>
      </c>
      <c r="F11" s="159" t="s">
        <v>19</v>
      </c>
      <c r="G11" s="159" t="s">
        <v>19</v>
      </c>
      <c r="H11" s="159" t="s">
        <v>19</v>
      </c>
      <c r="I11" s="114"/>
    </row>
    <row r="12" spans="2:9" ht="14.25">
      <c r="B12" s="89"/>
      <c r="C12" s="153"/>
      <c r="D12" s="124"/>
      <c r="E12" s="153"/>
      <c r="F12" s="153"/>
      <c r="G12" s="153"/>
      <c r="H12" s="153"/>
      <c r="I12" s="114"/>
    </row>
    <row r="13" spans="2:9" ht="14.25">
      <c r="B13" s="112" t="s">
        <v>131</v>
      </c>
      <c r="C13" s="159" t="s">
        <v>19</v>
      </c>
      <c r="D13" s="124">
        <f>Emissions!G18</f>
        <v>3.933000000000001</v>
      </c>
      <c r="E13" s="159" t="s">
        <v>19</v>
      </c>
      <c r="F13" s="159" t="s">
        <v>19</v>
      </c>
      <c r="G13" s="159" t="s">
        <v>19</v>
      </c>
      <c r="H13" s="159" t="s">
        <v>19</v>
      </c>
      <c r="I13" s="114"/>
    </row>
    <row r="14" spans="2:9" ht="14.25">
      <c r="B14" s="89"/>
      <c r="C14" s="153"/>
      <c r="D14" s="124"/>
      <c r="E14" s="153"/>
      <c r="F14" s="153"/>
      <c r="G14" s="153"/>
      <c r="H14" s="153"/>
      <c r="I14" s="114"/>
    </row>
    <row r="15" spans="2:9" ht="14.25">
      <c r="B15" s="183" t="s">
        <v>47</v>
      </c>
      <c r="C15" s="184" t="s">
        <v>19</v>
      </c>
      <c r="D15" s="185">
        <f>Emissions!G20</f>
        <v>0.01</v>
      </c>
      <c r="E15" s="184" t="s">
        <v>19</v>
      </c>
      <c r="F15" s="184" t="s">
        <v>19</v>
      </c>
      <c r="G15" s="184" t="s">
        <v>19</v>
      </c>
      <c r="H15" s="184" t="s">
        <v>19</v>
      </c>
      <c r="I15" s="114"/>
    </row>
    <row r="16" spans="2:9" ht="14.25">
      <c r="B16" s="112"/>
      <c r="C16" s="153"/>
      <c r="D16" s="116"/>
      <c r="E16" s="136"/>
      <c r="F16" s="136"/>
      <c r="G16" s="136"/>
      <c r="H16" s="136"/>
      <c r="I16" s="114"/>
    </row>
    <row r="17" spans="2:9" ht="15.75">
      <c r="B17" s="173" t="s">
        <v>43</v>
      </c>
      <c r="C17" s="174">
        <f aca="true" t="shared" si="0" ref="C17:H17">SUM(C11:C15)</f>
        <v>0</v>
      </c>
      <c r="D17" s="174">
        <f t="shared" si="0"/>
        <v>3.943000000000001</v>
      </c>
      <c r="E17" s="174">
        <f t="shared" si="0"/>
        <v>0</v>
      </c>
      <c r="F17" s="174">
        <f t="shared" si="0"/>
        <v>0</v>
      </c>
      <c r="G17" s="174">
        <f t="shared" si="0"/>
        <v>0</v>
      </c>
      <c r="H17" s="174">
        <f t="shared" si="0"/>
        <v>0</v>
      </c>
      <c r="I17" s="117"/>
    </row>
    <row r="18" spans="2:9" ht="15">
      <c r="B18" s="154"/>
      <c r="C18" s="158"/>
      <c r="D18" s="158"/>
      <c r="E18" s="158"/>
      <c r="F18" s="158"/>
      <c r="G18" s="158"/>
      <c r="H18" s="158"/>
      <c r="I18" s="117"/>
    </row>
    <row r="19" spans="3:9" ht="14.25">
      <c r="C19" s="142"/>
      <c r="D19" s="117"/>
      <c r="E19" s="117"/>
      <c r="F19" s="117"/>
      <c r="G19" s="117"/>
      <c r="H19" s="117"/>
      <c r="I19" s="117"/>
    </row>
    <row r="21" spans="2:9" ht="15">
      <c r="B21" s="141" t="s">
        <v>132</v>
      </c>
      <c r="C21" s="142"/>
      <c r="D21" s="117"/>
      <c r="E21" s="117"/>
      <c r="F21" s="117"/>
      <c r="G21" s="117"/>
      <c r="H21" s="117"/>
      <c r="I21" s="117"/>
    </row>
    <row r="22" ht="15" thickBot="1"/>
    <row r="23" spans="2:9" ht="15" thickBot="1">
      <c r="B23" s="143" t="s">
        <v>6</v>
      </c>
      <c r="C23" s="144" t="s">
        <v>28</v>
      </c>
      <c r="D23" s="145" t="s">
        <v>29</v>
      </c>
      <c r="E23" s="145" t="s">
        <v>30</v>
      </c>
      <c r="F23" s="145" t="s">
        <v>31</v>
      </c>
      <c r="G23" s="145" t="s">
        <v>32</v>
      </c>
      <c r="H23" s="146" t="s">
        <v>200</v>
      </c>
      <c r="I23" s="117"/>
    </row>
    <row r="24" spans="2:9" ht="14.25">
      <c r="B24" s="147"/>
      <c r="C24" s="148"/>
      <c r="D24" s="117"/>
      <c r="E24" s="117"/>
      <c r="F24" s="117"/>
      <c r="G24" s="117"/>
      <c r="H24" s="117"/>
      <c r="I24" s="117"/>
    </row>
    <row r="25" spans="2:9" ht="14.25">
      <c r="B25" s="112" t="s">
        <v>20</v>
      </c>
      <c r="C25" s="159" t="s">
        <v>19</v>
      </c>
      <c r="D25" s="159" t="s">
        <v>19</v>
      </c>
      <c r="E25" s="159" t="s">
        <v>19</v>
      </c>
      <c r="F25" s="159" t="s">
        <v>19</v>
      </c>
      <c r="G25" s="159" t="s">
        <v>19</v>
      </c>
      <c r="H25" s="159" t="s">
        <v>19</v>
      </c>
      <c r="I25" s="117"/>
    </row>
    <row r="26" spans="2:9" ht="14.25">
      <c r="B26" s="89"/>
      <c r="C26" s="153"/>
      <c r="E26" s="153"/>
      <c r="F26" s="153"/>
      <c r="G26" s="153"/>
      <c r="H26" s="153"/>
      <c r="I26" s="117"/>
    </row>
    <row r="27" spans="2:9" ht="14.25">
      <c r="B27" s="112" t="s">
        <v>131</v>
      </c>
      <c r="C27" s="159" t="s">
        <v>19</v>
      </c>
      <c r="D27" s="124">
        <f>Emissions!H18</f>
        <v>0.7177725000000003</v>
      </c>
      <c r="E27" s="159" t="s">
        <v>19</v>
      </c>
      <c r="F27" s="159" t="s">
        <v>19</v>
      </c>
      <c r="G27" s="159" t="s">
        <v>19</v>
      </c>
      <c r="H27" s="159" t="s">
        <v>19</v>
      </c>
      <c r="I27" s="117"/>
    </row>
    <row r="28" spans="2:9" ht="14.25">
      <c r="B28" s="89"/>
      <c r="C28" s="153"/>
      <c r="D28" s="124"/>
      <c r="E28" s="153"/>
      <c r="F28" s="153"/>
      <c r="G28" s="153"/>
      <c r="H28" s="153"/>
      <c r="I28" s="117"/>
    </row>
    <row r="29" spans="2:9" ht="14.25">
      <c r="B29" s="183" t="s">
        <v>47</v>
      </c>
      <c r="C29" s="184" t="s">
        <v>19</v>
      </c>
      <c r="D29" s="185">
        <f>Emissions!H20</f>
        <v>0</v>
      </c>
      <c r="E29" s="184" t="s">
        <v>19</v>
      </c>
      <c r="F29" s="184" t="s">
        <v>19</v>
      </c>
      <c r="G29" s="184" t="s">
        <v>19</v>
      </c>
      <c r="H29" s="184" t="s">
        <v>19</v>
      </c>
      <c r="I29" s="117"/>
    </row>
    <row r="30" spans="2:9" ht="14.25">
      <c r="B30" s="89"/>
      <c r="C30" s="153"/>
      <c r="D30" s="124"/>
      <c r="E30" s="135"/>
      <c r="F30" s="135"/>
      <c r="G30" s="135"/>
      <c r="H30" s="135"/>
      <c r="I30" s="117"/>
    </row>
    <row r="31" spans="2:9" ht="15.75">
      <c r="B31" s="173" t="s">
        <v>44</v>
      </c>
      <c r="C31" s="174">
        <f aca="true" t="shared" si="1" ref="C31:H31">SUM(C25:C29)</f>
        <v>0</v>
      </c>
      <c r="D31" s="174">
        <f t="shared" si="1"/>
        <v>0.7177725000000003</v>
      </c>
      <c r="E31" s="174">
        <f t="shared" si="1"/>
        <v>0</v>
      </c>
      <c r="F31" s="174">
        <f t="shared" si="1"/>
        <v>0</v>
      </c>
      <c r="G31" s="174">
        <f t="shared" si="1"/>
        <v>0</v>
      </c>
      <c r="H31" s="174">
        <f t="shared" si="1"/>
        <v>0</v>
      </c>
      <c r="I31" s="117"/>
    </row>
    <row r="32" spans="3:9" ht="14.25">
      <c r="C32" s="142"/>
      <c r="D32" s="117"/>
      <c r="E32" s="117"/>
      <c r="F32" s="117"/>
      <c r="G32" s="117"/>
      <c r="H32" s="117"/>
      <c r="I32" s="117"/>
    </row>
    <row r="33" spans="2:9" ht="14.25">
      <c r="B33" s="117"/>
      <c r="C33" s="142"/>
      <c r="D33" s="117"/>
      <c r="E33" s="117"/>
      <c r="F33" s="117"/>
      <c r="G33" s="117"/>
      <c r="H33" s="117"/>
      <c r="I33" s="117"/>
    </row>
    <row r="34" spans="2:9" ht="14.25">
      <c r="B34" s="117"/>
      <c r="C34" s="142"/>
      <c r="D34" s="117"/>
      <c r="E34" s="117"/>
      <c r="F34" s="117"/>
      <c r="G34" s="117"/>
      <c r="H34" s="117"/>
      <c r="I34" s="117"/>
    </row>
    <row r="35" spans="2:9" ht="14.25">
      <c r="B35" s="117"/>
      <c r="C35" s="142"/>
      <c r="D35" s="117"/>
      <c r="E35" s="117"/>
      <c r="F35" s="117"/>
      <c r="G35" s="117"/>
      <c r="H35" s="117"/>
      <c r="I35" s="117"/>
    </row>
    <row r="36" spans="2:9" ht="14.25">
      <c r="B36" s="117"/>
      <c r="C36" s="142"/>
      <c r="D36" s="117"/>
      <c r="E36" s="117"/>
      <c r="F36" s="117"/>
      <c r="G36" s="117"/>
      <c r="H36" s="117"/>
      <c r="I36" s="117"/>
    </row>
    <row r="37" spans="2:9" ht="14.25">
      <c r="B37" s="117"/>
      <c r="C37" s="142"/>
      <c r="D37" s="117"/>
      <c r="E37" s="117"/>
      <c r="F37" s="117"/>
      <c r="G37" s="117"/>
      <c r="H37" s="117"/>
      <c r="I37" s="117"/>
    </row>
    <row r="38" spans="2:9" ht="14.25">
      <c r="B38" s="117"/>
      <c r="C38" s="142"/>
      <c r="D38" s="117"/>
      <c r="E38" s="117"/>
      <c r="F38" s="117"/>
      <c r="G38" s="117"/>
      <c r="H38" s="117"/>
      <c r="I38" s="117"/>
    </row>
    <row r="39" spans="2:9" ht="14.25">
      <c r="B39" s="117"/>
      <c r="C39" s="142"/>
      <c r="D39" s="117"/>
      <c r="E39" s="117"/>
      <c r="F39" s="117"/>
      <c r="G39" s="117"/>
      <c r="H39" s="117"/>
      <c r="I39" s="117"/>
    </row>
    <row r="40" spans="2:9" ht="14.25">
      <c r="B40" s="117"/>
      <c r="C40" s="142"/>
      <c r="D40" s="117"/>
      <c r="E40" s="117"/>
      <c r="F40" s="117"/>
      <c r="G40" s="117"/>
      <c r="H40" s="117"/>
      <c r="I40" s="117"/>
    </row>
    <row r="41" spans="2:9" ht="14.25">
      <c r="B41" s="117"/>
      <c r="C41" s="142"/>
      <c r="D41" s="117"/>
      <c r="E41" s="117"/>
      <c r="F41" s="117"/>
      <c r="G41" s="117"/>
      <c r="H41" s="117"/>
      <c r="I41" s="117"/>
    </row>
    <row r="42" spans="2:9" ht="14.25">
      <c r="B42" s="117"/>
      <c r="C42" s="142"/>
      <c r="D42" s="117"/>
      <c r="E42" s="117"/>
      <c r="F42" s="117"/>
      <c r="G42" s="117"/>
      <c r="H42" s="117"/>
      <c r="I42" s="117"/>
    </row>
    <row r="43" spans="2:9" ht="14.25">
      <c r="B43" s="117"/>
      <c r="C43" s="142"/>
      <c r="D43" s="117"/>
      <c r="E43" s="117"/>
      <c r="F43" s="117"/>
      <c r="G43" s="117"/>
      <c r="H43" s="117"/>
      <c r="I43" s="117"/>
    </row>
    <row r="44" spans="2:9" ht="14.25">
      <c r="B44" s="117"/>
      <c r="C44" s="142"/>
      <c r="D44" s="117"/>
      <c r="E44" s="117"/>
      <c r="F44" s="117"/>
      <c r="G44" s="117"/>
      <c r="H44" s="117"/>
      <c r="I44" s="117"/>
    </row>
    <row r="45" spans="2:9" ht="14.25">
      <c r="B45" s="117"/>
      <c r="C45" s="142"/>
      <c r="D45" s="117"/>
      <c r="E45" s="117"/>
      <c r="F45" s="117"/>
      <c r="G45" s="117"/>
      <c r="H45" s="117"/>
      <c r="I45" s="117"/>
    </row>
    <row r="46" spans="2:9" ht="14.25">
      <c r="B46" s="117"/>
      <c r="C46" s="142"/>
      <c r="D46" s="117"/>
      <c r="E46" s="117"/>
      <c r="F46" s="117"/>
      <c r="G46" s="117"/>
      <c r="H46" s="117"/>
      <c r="I46" s="117"/>
    </row>
    <row r="47" spans="2:9" ht="14.25">
      <c r="B47" s="117"/>
      <c r="C47" s="142"/>
      <c r="D47" s="117"/>
      <c r="E47" s="117"/>
      <c r="F47" s="117"/>
      <c r="G47" s="117"/>
      <c r="H47" s="117"/>
      <c r="I47" s="117"/>
    </row>
    <row r="48" spans="2:9" ht="14.25">
      <c r="B48" s="117"/>
      <c r="C48" s="142"/>
      <c r="D48" s="117"/>
      <c r="E48" s="117"/>
      <c r="F48" s="117"/>
      <c r="G48" s="117"/>
      <c r="H48" s="117"/>
      <c r="I48" s="117"/>
    </row>
    <row r="49" spans="2:9" ht="14.25">
      <c r="B49" s="117"/>
      <c r="C49" s="142"/>
      <c r="D49" s="117"/>
      <c r="E49" s="117"/>
      <c r="F49" s="117"/>
      <c r="G49" s="117"/>
      <c r="H49" s="117"/>
      <c r="I49" s="117"/>
    </row>
    <row r="50" spans="2:9" ht="14.25">
      <c r="B50" s="117"/>
      <c r="C50" s="142"/>
      <c r="D50" s="117"/>
      <c r="E50" s="117"/>
      <c r="F50" s="117"/>
      <c r="G50" s="117"/>
      <c r="H50" s="117"/>
      <c r="I50" s="117"/>
    </row>
    <row r="51" spans="2:9" ht="14.25">
      <c r="B51" s="117"/>
      <c r="C51" s="142"/>
      <c r="D51" s="117"/>
      <c r="E51" s="117"/>
      <c r="F51" s="117"/>
      <c r="G51" s="117"/>
      <c r="H51" s="117"/>
      <c r="I51" s="117"/>
    </row>
    <row r="52" spans="2:9" ht="14.25">
      <c r="B52" s="117"/>
      <c r="C52" s="142"/>
      <c r="D52" s="117"/>
      <c r="E52" s="117"/>
      <c r="F52" s="117"/>
      <c r="G52" s="117"/>
      <c r="H52" s="117"/>
      <c r="I52" s="117"/>
    </row>
    <row r="53" spans="2:9" ht="14.25">
      <c r="B53" s="117"/>
      <c r="C53" s="142"/>
      <c r="D53" s="117"/>
      <c r="E53" s="117"/>
      <c r="F53" s="117"/>
      <c r="G53" s="117"/>
      <c r="H53" s="117"/>
      <c r="I53" s="117"/>
    </row>
    <row r="54" spans="2:9" ht="14.25">
      <c r="B54" s="117"/>
      <c r="C54" s="142"/>
      <c r="D54" s="117"/>
      <c r="E54" s="117"/>
      <c r="F54" s="117"/>
      <c r="G54" s="117"/>
      <c r="H54" s="117"/>
      <c r="I54" s="117"/>
    </row>
    <row r="55" spans="2:9" ht="14.25">
      <c r="B55" s="117"/>
      <c r="C55" s="142"/>
      <c r="D55" s="117"/>
      <c r="E55" s="117"/>
      <c r="F55" s="117"/>
      <c r="G55" s="117"/>
      <c r="H55" s="117"/>
      <c r="I55" s="117"/>
    </row>
    <row r="56" spans="2:9" ht="14.25">
      <c r="B56" s="117"/>
      <c r="C56" s="142"/>
      <c r="D56" s="117"/>
      <c r="E56" s="117"/>
      <c r="F56" s="117"/>
      <c r="G56" s="117"/>
      <c r="H56" s="117"/>
      <c r="I56" s="117"/>
    </row>
    <row r="57" spans="2:9" ht="14.25">
      <c r="B57" s="117"/>
      <c r="C57" s="142"/>
      <c r="D57" s="117"/>
      <c r="E57" s="117"/>
      <c r="F57" s="117"/>
      <c r="G57" s="117"/>
      <c r="H57" s="117"/>
      <c r="I57" s="117"/>
    </row>
    <row r="58" spans="2:9" ht="14.25">
      <c r="B58" s="117"/>
      <c r="C58" s="142"/>
      <c r="D58" s="117"/>
      <c r="E58" s="117"/>
      <c r="F58" s="117"/>
      <c r="G58" s="117"/>
      <c r="H58" s="117"/>
      <c r="I58" s="117"/>
    </row>
    <row r="59" spans="2:9" ht="14.25">
      <c r="B59" s="117"/>
      <c r="C59" s="142"/>
      <c r="D59" s="117"/>
      <c r="E59" s="117"/>
      <c r="F59" s="117"/>
      <c r="G59" s="117"/>
      <c r="H59" s="117"/>
      <c r="I59" s="117"/>
    </row>
    <row r="60" spans="2:9" ht="14.25">
      <c r="B60" s="117"/>
      <c r="C60" s="142"/>
      <c r="D60" s="117"/>
      <c r="E60" s="117"/>
      <c r="F60" s="117"/>
      <c r="G60" s="117"/>
      <c r="H60" s="117"/>
      <c r="I60" s="117"/>
    </row>
    <row r="61" spans="2:9" ht="14.25">
      <c r="B61" s="117"/>
      <c r="C61" s="142"/>
      <c r="D61" s="117"/>
      <c r="E61" s="117"/>
      <c r="F61" s="117"/>
      <c r="G61" s="117"/>
      <c r="H61" s="117"/>
      <c r="I61" s="117"/>
    </row>
    <row r="62" spans="2:9" ht="14.25">
      <c r="B62" s="117"/>
      <c r="C62" s="142"/>
      <c r="D62" s="117"/>
      <c r="E62" s="117"/>
      <c r="F62" s="117"/>
      <c r="G62" s="117"/>
      <c r="H62" s="117"/>
      <c r="I62" s="117"/>
    </row>
    <row r="63" spans="2:9" ht="14.25">
      <c r="B63" s="117"/>
      <c r="C63" s="142"/>
      <c r="D63" s="117"/>
      <c r="E63" s="117"/>
      <c r="F63" s="117"/>
      <c r="G63" s="117"/>
      <c r="H63" s="117"/>
      <c r="I63" s="117"/>
    </row>
    <row r="64" spans="2:9" ht="14.25">
      <c r="B64" s="117"/>
      <c r="C64" s="142"/>
      <c r="D64" s="117"/>
      <c r="E64" s="117"/>
      <c r="F64" s="117"/>
      <c r="G64" s="117"/>
      <c r="H64" s="117"/>
      <c r="I64" s="117"/>
    </row>
    <row r="65" spans="2:9" ht="14.25">
      <c r="B65" s="117"/>
      <c r="C65" s="142"/>
      <c r="D65" s="117"/>
      <c r="E65" s="117"/>
      <c r="F65" s="117"/>
      <c r="G65" s="117"/>
      <c r="H65" s="117"/>
      <c r="I65" s="117"/>
    </row>
    <row r="66" spans="2:9" ht="14.25">
      <c r="B66" s="117"/>
      <c r="C66" s="142"/>
      <c r="D66" s="117"/>
      <c r="E66" s="117"/>
      <c r="F66" s="117"/>
      <c r="G66" s="117"/>
      <c r="H66" s="117"/>
      <c r="I66" s="117"/>
    </row>
    <row r="67" spans="2:9" ht="14.25">
      <c r="B67" s="117"/>
      <c r="C67" s="142"/>
      <c r="D67" s="117"/>
      <c r="E67" s="117"/>
      <c r="F67" s="117"/>
      <c r="G67" s="117"/>
      <c r="H67" s="117"/>
      <c r="I67" s="117"/>
    </row>
    <row r="68" spans="2:9" ht="14.25">
      <c r="B68" s="117"/>
      <c r="C68" s="142"/>
      <c r="D68" s="117"/>
      <c r="E68" s="117"/>
      <c r="F68" s="117"/>
      <c r="G68" s="117"/>
      <c r="H68" s="117"/>
      <c r="I68" s="117"/>
    </row>
    <row r="69" spans="2:9" ht="14.25">
      <c r="B69" s="117"/>
      <c r="C69" s="142"/>
      <c r="D69" s="117"/>
      <c r="E69" s="117"/>
      <c r="F69" s="117"/>
      <c r="G69" s="117"/>
      <c r="H69" s="117"/>
      <c r="I69" s="117"/>
    </row>
    <row r="70" spans="2:9" ht="14.25">
      <c r="B70" s="117"/>
      <c r="C70" s="142"/>
      <c r="D70" s="117"/>
      <c r="E70" s="117"/>
      <c r="F70" s="117"/>
      <c r="G70" s="117"/>
      <c r="H70" s="117"/>
      <c r="I70" s="117"/>
    </row>
    <row r="71" spans="2:9" ht="14.25">
      <c r="B71" s="117"/>
      <c r="C71" s="142"/>
      <c r="D71" s="117"/>
      <c r="E71" s="117"/>
      <c r="F71" s="117"/>
      <c r="G71" s="117"/>
      <c r="H71" s="117"/>
      <c r="I71" s="117"/>
    </row>
    <row r="72" spans="2:9" ht="14.25">
      <c r="B72" s="117"/>
      <c r="C72" s="142"/>
      <c r="D72" s="117"/>
      <c r="E72" s="117"/>
      <c r="F72" s="117"/>
      <c r="G72" s="117"/>
      <c r="H72" s="117"/>
      <c r="I72" s="117"/>
    </row>
    <row r="73" spans="2:9" ht="14.25">
      <c r="B73" s="117"/>
      <c r="C73" s="142"/>
      <c r="D73" s="117"/>
      <c r="E73" s="117"/>
      <c r="F73" s="117"/>
      <c r="G73" s="117"/>
      <c r="H73" s="117"/>
      <c r="I73" s="117"/>
    </row>
    <row r="74" spans="2:9" ht="14.25">
      <c r="B74" s="117"/>
      <c r="C74" s="142"/>
      <c r="D74" s="117"/>
      <c r="E74" s="117"/>
      <c r="F74" s="117"/>
      <c r="G74" s="117"/>
      <c r="H74" s="117"/>
      <c r="I74" s="117"/>
    </row>
    <row r="75" spans="2:9" ht="14.25">
      <c r="B75" s="117"/>
      <c r="C75" s="142"/>
      <c r="D75" s="117"/>
      <c r="E75" s="117"/>
      <c r="F75" s="117"/>
      <c r="G75" s="117"/>
      <c r="H75" s="117"/>
      <c r="I75" s="117"/>
    </row>
    <row r="76" spans="2:9" ht="14.25">
      <c r="B76" s="117"/>
      <c r="C76" s="142"/>
      <c r="D76" s="117"/>
      <c r="E76" s="117"/>
      <c r="F76" s="117"/>
      <c r="G76" s="117"/>
      <c r="H76" s="117"/>
      <c r="I76" s="117"/>
    </row>
    <row r="77" spans="2:9" ht="14.25">
      <c r="B77" s="117"/>
      <c r="C77" s="142"/>
      <c r="D77" s="117"/>
      <c r="E77" s="117"/>
      <c r="F77" s="117"/>
      <c r="G77" s="117"/>
      <c r="H77" s="117"/>
      <c r="I77" s="117"/>
    </row>
    <row r="78" spans="2:9" ht="14.25">
      <c r="B78" s="117"/>
      <c r="C78" s="142"/>
      <c r="D78" s="117"/>
      <c r="E78" s="117"/>
      <c r="F78" s="117"/>
      <c r="G78" s="117"/>
      <c r="H78" s="117"/>
      <c r="I78" s="117"/>
    </row>
    <row r="79" spans="3:9" ht="14.25">
      <c r="C79" s="142"/>
      <c r="D79" s="117"/>
      <c r="E79" s="117"/>
      <c r="F79" s="117"/>
      <c r="G79" s="117"/>
      <c r="H79" s="117"/>
      <c r="I79" s="117"/>
    </row>
    <row r="80" spans="3:9" ht="14.25">
      <c r="C80" s="142"/>
      <c r="D80" s="117"/>
      <c r="E80" s="117"/>
      <c r="F80" s="117"/>
      <c r="G80" s="117"/>
      <c r="H80" s="117"/>
      <c r="I80" s="117"/>
    </row>
    <row r="81" spans="3:9" ht="14.25">
      <c r="C81" s="142"/>
      <c r="D81" s="117"/>
      <c r="E81" s="117"/>
      <c r="F81" s="117"/>
      <c r="G81" s="117"/>
      <c r="H81" s="117"/>
      <c r="I81" s="117"/>
    </row>
    <row r="82" spans="3:9" ht="14.25">
      <c r="C82" s="142"/>
      <c r="D82" s="117"/>
      <c r="E82" s="117"/>
      <c r="F82" s="117"/>
      <c r="G82" s="117"/>
      <c r="H82" s="117"/>
      <c r="I82" s="117"/>
    </row>
    <row r="83" spans="3:9" ht="14.25">
      <c r="C83" s="142"/>
      <c r="D83" s="117"/>
      <c r="E83" s="117"/>
      <c r="F83" s="117"/>
      <c r="G83" s="117"/>
      <c r="H83" s="117"/>
      <c r="I83" s="117"/>
    </row>
    <row r="84" spans="3:9" ht="14.25">
      <c r="C84" s="142"/>
      <c r="D84" s="117"/>
      <c r="E84" s="117"/>
      <c r="F84" s="117"/>
      <c r="G84" s="117"/>
      <c r="H84" s="117"/>
      <c r="I84" s="117"/>
    </row>
    <row r="85" spans="3:9" ht="14.25">
      <c r="C85" s="142"/>
      <c r="D85" s="117"/>
      <c r="E85" s="117"/>
      <c r="F85" s="117"/>
      <c r="G85" s="117"/>
      <c r="H85" s="117"/>
      <c r="I85" s="117"/>
    </row>
    <row r="86" spans="3:9" ht="14.25">
      <c r="C86" s="142"/>
      <c r="D86" s="117"/>
      <c r="E86" s="117"/>
      <c r="F86" s="117"/>
      <c r="G86" s="117"/>
      <c r="H86" s="117"/>
      <c r="I86" s="117"/>
    </row>
    <row r="87" spans="3:9" ht="14.25">
      <c r="C87" s="142"/>
      <c r="D87" s="117"/>
      <c r="E87" s="117"/>
      <c r="F87" s="117"/>
      <c r="G87" s="117"/>
      <c r="H87" s="117"/>
      <c r="I87" s="117"/>
    </row>
    <row r="88" spans="3:9" ht="14.25">
      <c r="C88" s="142"/>
      <c r="D88" s="117"/>
      <c r="E88" s="117"/>
      <c r="F88" s="117"/>
      <c r="G88" s="117"/>
      <c r="H88" s="117"/>
      <c r="I88" s="117"/>
    </row>
    <row r="89" spans="3:9" ht="14.25">
      <c r="C89" s="142"/>
      <c r="D89" s="117"/>
      <c r="E89" s="117"/>
      <c r="F89" s="117"/>
      <c r="G89" s="117"/>
      <c r="H89" s="117"/>
      <c r="I89" s="117"/>
    </row>
    <row r="90" spans="3:9" ht="14.25">
      <c r="C90" s="142"/>
      <c r="D90" s="117"/>
      <c r="E90" s="117"/>
      <c r="F90" s="117"/>
      <c r="G90" s="117"/>
      <c r="H90" s="117"/>
      <c r="I90" s="117"/>
    </row>
    <row r="91" spans="3:9" ht="14.25">
      <c r="C91" s="142"/>
      <c r="D91" s="117"/>
      <c r="E91" s="117"/>
      <c r="F91" s="117"/>
      <c r="G91" s="117"/>
      <c r="H91" s="117"/>
      <c r="I91" s="117"/>
    </row>
    <row r="92" spans="3:9" ht="14.25">
      <c r="C92" s="142"/>
      <c r="D92" s="117"/>
      <c r="E92" s="117"/>
      <c r="F92" s="117"/>
      <c r="G92" s="117"/>
      <c r="H92" s="117"/>
      <c r="I92" s="117"/>
    </row>
    <row r="93" spans="3:9" ht="14.25">
      <c r="C93" s="142"/>
      <c r="D93" s="117"/>
      <c r="E93" s="117"/>
      <c r="F93" s="117"/>
      <c r="G93" s="117"/>
      <c r="H93" s="117"/>
      <c r="I93" s="117"/>
    </row>
    <row r="94" spans="3:9" ht="14.25">
      <c r="C94" s="142"/>
      <c r="D94" s="117"/>
      <c r="E94" s="117"/>
      <c r="F94" s="117"/>
      <c r="G94" s="117"/>
      <c r="H94" s="117"/>
      <c r="I94" s="117"/>
    </row>
    <row r="95" spans="3:9" ht="14.25">
      <c r="C95" s="142"/>
      <c r="D95" s="117"/>
      <c r="E95" s="117"/>
      <c r="F95" s="117"/>
      <c r="G95" s="117"/>
      <c r="H95" s="117"/>
      <c r="I95" s="117"/>
    </row>
    <row r="96" spans="3:9" ht="14.25">
      <c r="C96" s="142"/>
      <c r="D96" s="117"/>
      <c r="E96" s="117"/>
      <c r="F96" s="117"/>
      <c r="G96" s="117"/>
      <c r="H96" s="117"/>
      <c r="I96" s="117"/>
    </row>
    <row r="97" spans="4:9" ht="14.25">
      <c r="D97" s="117"/>
      <c r="E97" s="117"/>
      <c r="F97" s="117"/>
      <c r="G97" s="117"/>
      <c r="H97" s="117"/>
      <c r="I97" s="117"/>
    </row>
    <row r="98" spans="4:9" ht="14.25">
      <c r="D98" s="117"/>
      <c r="E98" s="117"/>
      <c r="F98" s="117"/>
      <c r="G98" s="117"/>
      <c r="H98" s="117"/>
      <c r="I98" s="117"/>
    </row>
  </sheetData>
  <sheetProtection/>
  <mergeCells count="3">
    <mergeCell ref="B2:H2"/>
    <mergeCell ref="B3:H3"/>
    <mergeCell ref="B4:H4"/>
  </mergeCells>
  <printOptions horizontalCentered="1"/>
  <pageMargins left="0.75" right="0.56" top="1" bottom="1" header="0.5" footer="0.5"/>
  <pageSetup horizontalDpi="300" verticalDpi="300" orientation="portrait" scale="67" r:id="rId1"/>
  <headerFooter alignWithMargins="0">
    <oddFooter>&amp;L&amp;"Times New Roman,Regular"Permit To Operate No. 8103 
Santa Barbara APCD</oddFooter>
  </headerFooter>
</worksheet>
</file>

<file path=xl/worksheets/sheet6.xml><?xml version="1.0" encoding="utf-8"?>
<worksheet xmlns="http://schemas.openxmlformats.org/spreadsheetml/2006/main" xmlns:r="http://schemas.openxmlformats.org/officeDocument/2006/relationships">
  <sheetPr transitionEvaluation="1"/>
  <dimension ref="A1:P82"/>
  <sheetViews>
    <sheetView showGridLines="0" zoomScale="75" zoomScaleNormal="75" zoomScalePageLayoutView="0" workbookViewId="0" topLeftCell="A1">
      <selection activeCell="A1" sqref="A1:J22"/>
    </sheetView>
  </sheetViews>
  <sheetFormatPr defaultColWidth="9.625" defaultRowHeight="12.75"/>
  <cols>
    <col min="1" max="1" width="3.50390625" style="82" customWidth="1"/>
    <col min="2" max="2" width="30.50390625" style="82" bestFit="1" customWidth="1"/>
    <col min="3" max="3" width="6.125" style="82" customWidth="1"/>
    <col min="4" max="4" width="7.375" style="82" customWidth="1"/>
    <col min="5" max="5" width="9.125" style="160" bestFit="1" customWidth="1"/>
    <col min="6" max="6" width="9.125" style="82" bestFit="1" customWidth="1"/>
    <col min="7" max="7" width="7.875" style="82" bestFit="1" customWidth="1"/>
    <col min="8" max="8" width="9.125" style="160" bestFit="1" customWidth="1"/>
    <col min="9" max="9" width="9.125" style="82" bestFit="1" customWidth="1"/>
    <col min="10" max="10" width="2.625" style="82" customWidth="1"/>
    <col min="11" max="11" width="10.625" style="82" customWidth="1"/>
    <col min="12" max="16384" width="9.625" style="82" customWidth="1"/>
  </cols>
  <sheetData>
    <row r="1" ht="14.25">
      <c r="A1" s="83"/>
    </row>
    <row r="2" spans="1:9" ht="15">
      <c r="A2" s="161" t="s">
        <v>157</v>
      </c>
      <c r="B2" s="162"/>
      <c r="C2" s="163"/>
      <c r="D2" s="162"/>
      <c r="E2" s="164"/>
      <c r="F2" s="163"/>
      <c r="G2" s="163"/>
      <c r="H2" s="164"/>
      <c r="I2" s="163"/>
    </row>
    <row r="3" spans="1:9" ht="15">
      <c r="A3" s="161" t="str">
        <f>Data!B3</f>
        <v>Beachfront Lease PT70-APCD PTO 8103 R10</v>
      </c>
      <c r="B3" s="163"/>
      <c r="C3" s="163"/>
      <c r="D3" s="163"/>
      <c r="E3" s="164"/>
      <c r="F3" s="163"/>
      <c r="G3" s="163"/>
      <c r="H3" s="164"/>
      <c r="I3" s="163"/>
    </row>
    <row r="4" spans="1:9" ht="15">
      <c r="A4" s="161" t="s">
        <v>174</v>
      </c>
      <c r="B4" s="163"/>
      <c r="C4" s="163"/>
      <c r="D4" s="163"/>
      <c r="E4" s="164"/>
      <c r="F4" s="163"/>
      <c r="G4" s="163"/>
      <c r="H4" s="164"/>
      <c r="I4" s="163"/>
    </row>
    <row r="5" ht="15">
      <c r="A5" s="90"/>
    </row>
    <row r="6" spans="5:8" ht="14.25">
      <c r="E6" s="82"/>
      <c r="H6" s="82"/>
    </row>
    <row r="7" spans="2:16" ht="14.25">
      <c r="B7" s="82" t="s">
        <v>148</v>
      </c>
      <c r="E7" s="82"/>
      <c r="H7" s="82"/>
      <c r="J7" s="117"/>
      <c r="K7" s="117"/>
      <c r="L7" s="117"/>
      <c r="M7" s="117"/>
      <c r="N7" s="117"/>
      <c r="O7" s="117"/>
      <c r="P7" s="117"/>
    </row>
    <row r="8" spans="5:16" ht="14.25">
      <c r="E8" s="82"/>
      <c r="H8" s="82"/>
      <c r="J8" s="117"/>
      <c r="K8" s="117"/>
      <c r="L8" s="117"/>
      <c r="M8" s="117"/>
      <c r="N8" s="117"/>
      <c r="O8" s="117"/>
      <c r="P8" s="117"/>
    </row>
    <row r="9" spans="2:16" ht="14.25">
      <c r="B9" s="165" t="s">
        <v>6</v>
      </c>
      <c r="C9" s="166"/>
      <c r="D9" s="167" t="s">
        <v>28</v>
      </c>
      <c r="E9" s="167" t="s">
        <v>29</v>
      </c>
      <c r="F9" s="167" t="s">
        <v>30</v>
      </c>
      <c r="G9" s="167" t="s">
        <v>31</v>
      </c>
      <c r="H9" s="167" t="s">
        <v>32</v>
      </c>
      <c r="I9" s="168" t="s">
        <v>200</v>
      </c>
      <c r="J9" s="117"/>
      <c r="K9" s="117"/>
      <c r="L9" s="117"/>
      <c r="M9" s="117"/>
      <c r="N9" s="117"/>
      <c r="O9" s="117"/>
      <c r="P9" s="117"/>
    </row>
    <row r="10" spans="5:16" ht="14.25">
      <c r="E10" s="82"/>
      <c r="H10" s="82"/>
      <c r="J10" s="117"/>
      <c r="K10" s="117"/>
      <c r="L10" s="117"/>
      <c r="M10" s="117"/>
      <c r="N10" s="117"/>
      <c r="O10" s="117"/>
      <c r="P10" s="117"/>
    </row>
    <row r="11" spans="2:16" ht="14.25">
      <c r="B11" s="82" t="s">
        <v>149</v>
      </c>
      <c r="D11" s="169" t="s">
        <v>19</v>
      </c>
      <c r="E11" s="170">
        <f>E19*2000/12/30</f>
        <v>0.5555555555555556</v>
      </c>
      <c r="F11" s="169" t="s">
        <v>19</v>
      </c>
      <c r="G11" s="169" t="s">
        <v>19</v>
      </c>
      <c r="H11" s="169" t="s">
        <v>19</v>
      </c>
      <c r="I11" s="169" t="s">
        <v>19</v>
      </c>
      <c r="J11" s="117"/>
      <c r="K11" s="117"/>
      <c r="L11" s="117"/>
      <c r="M11" s="117"/>
      <c r="N11" s="117"/>
      <c r="O11" s="117"/>
      <c r="P11" s="117"/>
    </row>
    <row r="12" spans="4:16" ht="20.25" customHeight="1">
      <c r="D12" s="80">
        <f aca="true" t="shared" si="0" ref="D12:I12">SUM(D11:D11)</f>
        <v>0</v>
      </c>
      <c r="E12" s="80">
        <f t="shared" si="0"/>
        <v>0.5555555555555556</v>
      </c>
      <c r="F12" s="80">
        <f t="shared" si="0"/>
        <v>0</v>
      </c>
      <c r="G12" s="80">
        <f t="shared" si="0"/>
        <v>0</v>
      </c>
      <c r="H12" s="80">
        <f t="shared" si="0"/>
        <v>0</v>
      </c>
      <c r="I12" s="80">
        <f t="shared" si="0"/>
        <v>0</v>
      </c>
      <c r="J12" s="117"/>
      <c r="K12" s="117"/>
      <c r="L12" s="117"/>
      <c r="M12" s="117"/>
      <c r="N12" s="117"/>
      <c r="O12" s="117"/>
      <c r="P12" s="117"/>
    </row>
    <row r="13" spans="5:16" ht="14.25">
      <c r="E13" s="82"/>
      <c r="H13" s="82"/>
      <c r="J13" s="117"/>
      <c r="K13" s="117"/>
      <c r="L13" s="117"/>
      <c r="M13" s="117"/>
      <c r="N13" s="117"/>
      <c r="O13" s="117"/>
      <c r="P13" s="117"/>
    </row>
    <row r="14" spans="5:16" ht="14.25">
      <c r="E14" s="82"/>
      <c r="H14" s="82"/>
      <c r="J14" s="117"/>
      <c r="K14" s="117"/>
      <c r="L14" s="117"/>
      <c r="M14" s="117"/>
      <c r="N14" s="117"/>
      <c r="O14" s="117"/>
      <c r="P14" s="117"/>
    </row>
    <row r="15" spans="2:16" ht="14.25">
      <c r="B15" s="82" t="s">
        <v>150</v>
      </c>
      <c r="E15" s="82"/>
      <c r="H15" s="82"/>
      <c r="J15" s="117"/>
      <c r="K15" s="117"/>
      <c r="L15" s="117"/>
      <c r="M15" s="117"/>
      <c r="N15" s="117"/>
      <c r="O15" s="117"/>
      <c r="P15" s="117"/>
    </row>
    <row r="16" spans="5:16" ht="14.25">
      <c r="E16" s="82"/>
      <c r="H16" s="82"/>
      <c r="J16" s="117"/>
      <c r="K16" s="117"/>
      <c r="L16" s="117"/>
      <c r="M16" s="117"/>
      <c r="N16" s="117"/>
      <c r="O16" s="117"/>
      <c r="P16" s="117"/>
    </row>
    <row r="17" spans="2:16" ht="14.25">
      <c r="B17" s="165" t="s">
        <v>6</v>
      </c>
      <c r="C17" s="166"/>
      <c r="D17" s="167" t="s">
        <v>28</v>
      </c>
      <c r="E17" s="167" t="s">
        <v>29</v>
      </c>
      <c r="F17" s="167" t="s">
        <v>30</v>
      </c>
      <c r="G17" s="167" t="s">
        <v>31</v>
      </c>
      <c r="H17" s="167" t="s">
        <v>32</v>
      </c>
      <c r="I17" s="168" t="s">
        <v>200</v>
      </c>
      <c r="J17" s="117"/>
      <c r="K17" s="117"/>
      <c r="L17" s="117"/>
      <c r="M17" s="117"/>
      <c r="N17" s="117"/>
      <c r="O17" s="117"/>
      <c r="P17" s="117"/>
    </row>
    <row r="18" spans="5:16" ht="14.25">
      <c r="E18" s="82"/>
      <c r="H18" s="82"/>
      <c r="J18" s="117"/>
      <c r="K18" s="117"/>
      <c r="L18" s="117"/>
      <c r="M18" s="117"/>
      <c r="N18" s="117"/>
      <c r="O18" s="117"/>
      <c r="P18" s="117"/>
    </row>
    <row r="19" spans="2:16" ht="14.25">
      <c r="B19" s="82" t="s">
        <v>149</v>
      </c>
      <c r="D19" s="139" t="s">
        <v>19</v>
      </c>
      <c r="E19" s="171">
        <v>0.1</v>
      </c>
      <c r="F19" s="139" t="s">
        <v>19</v>
      </c>
      <c r="G19" s="139" t="s">
        <v>19</v>
      </c>
      <c r="H19" s="139" t="s">
        <v>19</v>
      </c>
      <c r="I19" s="139" t="s">
        <v>19</v>
      </c>
      <c r="J19" s="117"/>
      <c r="K19" s="117"/>
      <c r="L19" s="117"/>
      <c r="M19" s="117"/>
      <c r="N19" s="117"/>
      <c r="O19" s="117"/>
      <c r="P19" s="117"/>
    </row>
    <row r="20" spans="4:16" ht="20.25" customHeight="1">
      <c r="D20" s="81">
        <f aca="true" t="shared" si="1" ref="D20:I20">SUM(D19:D19)</f>
        <v>0</v>
      </c>
      <c r="E20" s="81">
        <f t="shared" si="1"/>
        <v>0.1</v>
      </c>
      <c r="F20" s="81">
        <f t="shared" si="1"/>
        <v>0</v>
      </c>
      <c r="G20" s="81">
        <f t="shared" si="1"/>
        <v>0</v>
      </c>
      <c r="H20" s="81">
        <f t="shared" si="1"/>
        <v>0</v>
      </c>
      <c r="I20" s="81">
        <f t="shared" si="1"/>
        <v>0</v>
      </c>
      <c r="J20" s="117"/>
      <c r="K20" s="117"/>
      <c r="L20" s="117"/>
      <c r="M20" s="117"/>
      <c r="N20" s="117"/>
      <c r="O20" s="117"/>
      <c r="P20" s="117"/>
    </row>
    <row r="21" spans="4:16" ht="14.25">
      <c r="D21" s="172"/>
      <c r="E21" s="172"/>
      <c r="F21" s="172"/>
      <c r="G21" s="172"/>
      <c r="H21" s="172"/>
      <c r="I21" s="172"/>
      <c r="J21" s="117"/>
      <c r="K21" s="117"/>
      <c r="L21" s="117"/>
      <c r="M21" s="117"/>
      <c r="N21" s="117"/>
      <c r="O21" s="117"/>
      <c r="P21" s="117"/>
    </row>
    <row r="22" spans="1:16" ht="14.25">
      <c r="A22" s="117"/>
      <c r="B22" s="117"/>
      <c r="C22" s="117"/>
      <c r="D22" s="117"/>
      <c r="E22" s="89"/>
      <c r="F22" s="117"/>
      <c r="G22" s="117"/>
      <c r="H22" s="89"/>
      <c r="I22" s="117"/>
      <c r="J22" s="117"/>
      <c r="K22" s="117"/>
      <c r="L22" s="117"/>
      <c r="M22" s="117"/>
      <c r="N22" s="117"/>
      <c r="O22" s="117"/>
      <c r="P22" s="117"/>
    </row>
    <row r="23" spans="1:16" ht="15">
      <c r="A23" s="157"/>
      <c r="B23" s="117"/>
      <c r="C23" s="117"/>
      <c r="D23" s="117"/>
      <c r="E23" s="138"/>
      <c r="F23" s="117"/>
      <c r="G23" s="117"/>
      <c r="H23" s="138"/>
      <c r="I23" s="117"/>
      <c r="J23" s="117"/>
      <c r="K23" s="117"/>
      <c r="L23" s="117"/>
      <c r="M23" s="117"/>
      <c r="N23" s="117"/>
      <c r="O23" s="117"/>
      <c r="P23" s="117"/>
    </row>
    <row r="24" spans="1:16" ht="14.25">
      <c r="A24" s="117"/>
      <c r="C24" s="117"/>
      <c r="D24" s="117"/>
      <c r="E24" s="89"/>
      <c r="F24" s="117"/>
      <c r="G24" s="117"/>
      <c r="H24" s="89"/>
      <c r="I24" s="117"/>
      <c r="J24" s="117"/>
      <c r="K24" s="117"/>
      <c r="L24" s="117"/>
      <c r="M24" s="117"/>
      <c r="N24" s="117"/>
      <c r="O24" s="117"/>
      <c r="P24" s="117"/>
    </row>
    <row r="25" spans="1:16" ht="14.25">
      <c r="A25" s="117"/>
      <c r="B25" s="117"/>
      <c r="C25" s="117"/>
      <c r="E25" s="89"/>
      <c r="F25" s="117"/>
      <c r="G25" s="117"/>
      <c r="H25" s="89"/>
      <c r="I25" s="117"/>
      <c r="J25" s="117"/>
      <c r="K25" s="117"/>
      <c r="L25" s="117"/>
      <c r="M25" s="117"/>
      <c r="N25" s="117"/>
      <c r="O25" s="117"/>
      <c r="P25" s="117"/>
    </row>
    <row r="26" spans="1:16" ht="14.25">
      <c r="A26" s="117"/>
      <c r="C26" s="117"/>
      <c r="D26" s="117"/>
      <c r="E26" s="89"/>
      <c r="F26" s="117"/>
      <c r="G26" s="117"/>
      <c r="H26" s="89"/>
      <c r="I26" s="117"/>
      <c r="J26" s="117"/>
      <c r="K26" s="117"/>
      <c r="L26" s="117"/>
      <c r="M26" s="117"/>
      <c r="N26" s="117"/>
      <c r="O26" s="117"/>
      <c r="P26" s="117"/>
    </row>
    <row r="27" spans="1:16" ht="14.25">
      <c r="A27" s="117"/>
      <c r="B27" s="117"/>
      <c r="C27" s="117"/>
      <c r="D27" s="117"/>
      <c r="E27" s="89"/>
      <c r="F27" s="117"/>
      <c r="G27" s="117"/>
      <c r="H27" s="89"/>
      <c r="I27" s="117"/>
      <c r="J27" s="117"/>
      <c r="K27" s="117"/>
      <c r="L27" s="117"/>
      <c r="M27" s="117"/>
      <c r="N27" s="117"/>
      <c r="O27" s="117"/>
      <c r="P27" s="117"/>
    </row>
    <row r="28" spans="1:16" ht="14.25">
      <c r="A28" s="117"/>
      <c r="B28" s="117"/>
      <c r="C28" s="117"/>
      <c r="D28" s="117"/>
      <c r="E28" s="89"/>
      <c r="F28" s="117"/>
      <c r="G28" s="117"/>
      <c r="H28" s="89"/>
      <c r="I28" s="117"/>
      <c r="J28" s="117"/>
      <c r="K28" s="117"/>
      <c r="L28" s="117"/>
      <c r="M28" s="117"/>
      <c r="N28" s="117"/>
      <c r="O28" s="117"/>
      <c r="P28" s="117"/>
    </row>
    <row r="29" spans="1:16" ht="14.25">
      <c r="A29" s="117"/>
      <c r="B29" s="117"/>
      <c r="C29" s="117"/>
      <c r="D29" s="117"/>
      <c r="E29" s="89"/>
      <c r="F29" s="117"/>
      <c r="G29" s="117"/>
      <c r="H29" s="89"/>
      <c r="I29" s="117"/>
      <c r="J29" s="117"/>
      <c r="K29" s="117"/>
      <c r="L29" s="117"/>
      <c r="M29" s="117"/>
      <c r="N29" s="117"/>
      <c r="O29" s="117"/>
      <c r="P29" s="117"/>
    </row>
    <row r="30" spans="1:16" ht="14.25">
      <c r="A30" s="117"/>
      <c r="B30" s="117"/>
      <c r="C30" s="117"/>
      <c r="D30" s="117"/>
      <c r="E30" s="89"/>
      <c r="F30" s="117"/>
      <c r="G30" s="117"/>
      <c r="H30" s="89"/>
      <c r="I30" s="117"/>
      <c r="J30" s="117"/>
      <c r="K30" s="117"/>
      <c r="L30" s="117"/>
      <c r="M30" s="117"/>
      <c r="N30" s="117"/>
      <c r="O30" s="117"/>
      <c r="P30" s="117"/>
    </row>
    <row r="31" spans="1:16" ht="14.25">
      <c r="A31" s="117"/>
      <c r="B31" s="117"/>
      <c r="C31" s="117"/>
      <c r="D31" s="117"/>
      <c r="E31" s="89"/>
      <c r="F31" s="117"/>
      <c r="G31" s="117"/>
      <c r="H31" s="89"/>
      <c r="I31" s="117"/>
      <c r="J31" s="117"/>
      <c r="K31" s="117"/>
      <c r="L31" s="117"/>
      <c r="M31" s="117"/>
      <c r="N31" s="117"/>
      <c r="O31" s="117"/>
      <c r="P31" s="117"/>
    </row>
    <row r="32" spans="1:16" ht="14.25">
      <c r="A32" s="117"/>
      <c r="B32" s="117"/>
      <c r="C32" s="117"/>
      <c r="D32" s="117"/>
      <c r="E32" s="89"/>
      <c r="F32" s="117"/>
      <c r="G32" s="117"/>
      <c r="H32" s="89"/>
      <c r="I32" s="117"/>
      <c r="J32" s="117"/>
      <c r="K32" s="117"/>
      <c r="L32" s="117"/>
      <c r="M32" s="117"/>
      <c r="N32" s="117"/>
      <c r="O32" s="117"/>
      <c r="P32" s="117"/>
    </row>
    <row r="33" spans="1:16" ht="14.25">
      <c r="A33" s="117"/>
      <c r="B33" s="117"/>
      <c r="C33" s="117"/>
      <c r="D33" s="117"/>
      <c r="E33" s="89"/>
      <c r="F33" s="117"/>
      <c r="G33" s="117"/>
      <c r="H33" s="89"/>
      <c r="I33" s="117"/>
      <c r="J33" s="117"/>
      <c r="K33" s="117"/>
      <c r="L33" s="117"/>
      <c r="M33" s="117"/>
      <c r="N33" s="117"/>
      <c r="O33" s="117"/>
      <c r="P33" s="117"/>
    </row>
    <row r="34" spans="1:16" ht="14.25">
      <c r="A34" s="117"/>
      <c r="B34" s="117"/>
      <c r="C34" s="117"/>
      <c r="D34" s="117"/>
      <c r="E34" s="89"/>
      <c r="F34" s="117"/>
      <c r="G34" s="117"/>
      <c r="H34" s="89"/>
      <c r="I34" s="117"/>
      <c r="J34" s="117"/>
      <c r="K34" s="117"/>
      <c r="L34" s="117"/>
      <c r="M34" s="117"/>
      <c r="N34" s="117"/>
      <c r="O34" s="117"/>
      <c r="P34" s="117"/>
    </row>
    <row r="35" spans="1:16" ht="14.25">
      <c r="A35" s="117"/>
      <c r="B35" s="117"/>
      <c r="C35" s="117"/>
      <c r="D35" s="117"/>
      <c r="E35" s="89"/>
      <c r="F35" s="117"/>
      <c r="G35" s="117"/>
      <c r="H35" s="89"/>
      <c r="I35" s="117"/>
      <c r="J35" s="117"/>
      <c r="K35" s="117"/>
      <c r="L35" s="117"/>
      <c r="M35" s="117"/>
      <c r="N35" s="117"/>
      <c r="O35" s="117"/>
      <c r="P35" s="117"/>
    </row>
    <row r="36" spans="1:16" ht="14.25">
      <c r="A36" s="117"/>
      <c r="B36" s="117"/>
      <c r="C36" s="117"/>
      <c r="D36" s="117"/>
      <c r="E36" s="89"/>
      <c r="F36" s="117"/>
      <c r="G36" s="117"/>
      <c r="H36" s="89"/>
      <c r="I36" s="117"/>
      <c r="J36" s="117"/>
      <c r="K36" s="117"/>
      <c r="L36" s="117"/>
      <c r="M36" s="117"/>
      <c r="N36" s="117"/>
      <c r="O36" s="117"/>
      <c r="P36" s="117"/>
    </row>
    <row r="37" spans="1:16" ht="14.25">
      <c r="A37" s="117"/>
      <c r="B37" s="117"/>
      <c r="C37" s="117"/>
      <c r="D37" s="117"/>
      <c r="E37" s="89"/>
      <c r="F37" s="117"/>
      <c r="G37" s="117"/>
      <c r="H37" s="89"/>
      <c r="I37" s="117"/>
      <c r="J37" s="117"/>
      <c r="K37" s="117"/>
      <c r="L37" s="117"/>
      <c r="M37" s="117"/>
      <c r="N37" s="117"/>
      <c r="O37" s="117"/>
      <c r="P37" s="117"/>
    </row>
    <row r="38" spans="1:16" ht="14.25">
      <c r="A38" s="117"/>
      <c r="B38" s="117"/>
      <c r="C38" s="117"/>
      <c r="D38" s="117"/>
      <c r="E38" s="89"/>
      <c r="F38" s="117"/>
      <c r="G38" s="117"/>
      <c r="H38" s="89"/>
      <c r="I38" s="117"/>
      <c r="J38" s="117"/>
      <c r="K38" s="117"/>
      <c r="L38" s="117"/>
      <c r="M38" s="117"/>
      <c r="N38" s="117"/>
      <c r="O38" s="117"/>
      <c r="P38" s="117"/>
    </row>
    <row r="39" spans="1:16" ht="14.25">
      <c r="A39" s="117"/>
      <c r="B39" s="117"/>
      <c r="C39" s="117"/>
      <c r="D39" s="117"/>
      <c r="E39" s="89"/>
      <c r="F39" s="117"/>
      <c r="G39" s="117"/>
      <c r="H39" s="89"/>
      <c r="I39" s="117"/>
      <c r="J39" s="117"/>
      <c r="K39" s="117"/>
      <c r="L39" s="117"/>
      <c r="M39" s="117"/>
      <c r="N39" s="117"/>
      <c r="O39" s="117"/>
      <c r="P39" s="117"/>
    </row>
    <row r="40" spans="1:16" ht="14.25">
      <c r="A40" s="117"/>
      <c r="B40" s="117"/>
      <c r="C40" s="117"/>
      <c r="D40" s="117"/>
      <c r="E40" s="89"/>
      <c r="F40" s="117"/>
      <c r="G40" s="117"/>
      <c r="H40" s="89"/>
      <c r="I40" s="117"/>
      <c r="J40" s="117"/>
      <c r="K40" s="117"/>
      <c r="L40" s="117"/>
      <c r="M40" s="117"/>
      <c r="N40" s="117"/>
      <c r="O40" s="117"/>
      <c r="P40" s="117"/>
    </row>
    <row r="41" spans="1:16" ht="14.25">
      <c r="A41" s="117"/>
      <c r="B41" s="117"/>
      <c r="C41" s="117"/>
      <c r="D41" s="117"/>
      <c r="E41" s="89"/>
      <c r="F41" s="117"/>
      <c r="G41" s="117"/>
      <c r="H41" s="89"/>
      <c r="I41" s="117"/>
      <c r="J41" s="117"/>
      <c r="K41" s="117"/>
      <c r="L41" s="117"/>
      <c r="M41" s="117"/>
      <c r="N41" s="117"/>
      <c r="O41" s="117"/>
      <c r="P41" s="117"/>
    </row>
    <row r="42" spans="1:16" ht="14.25">
      <c r="A42" s="117"/>
      <c r="B42" s="117"/>
      <c r="C42" s="117"/>
      <c r="D42" s="117"/>
      <c r="E42" s="89"/>
      <c r="F42" s="117"/>
      <c r="G42" s="117"/>
      <c r="H42" s="89"/>
      <c r="I42" s="117"/>
      <c r="J42" s="117"/>
      <c r="K42" s="117"/>
      <c r="L42" s="117"/>
      <c r="M42" s="117"/>
      <c r="N42" s="117"/>
      <c r="O42" s="117"/>
      <c r="P42" s="117"/>
    </row>
    <row r="43" spans="1:16" ht="14.25">
      <c r="A43" s="117"/>
      <c r="B43" s="117"/>
      <c r="C43" s="117"/>
      <c r="D43" s="117"/>
      <c r="E43" s="89"/>
      <c r="F43" s="117"/>
      <c r="G43" s="117"/>
      <c r="H43" s="89"/>
      <c r="I43" s="117"/>
      <c r="J43" s="117"/>
      <c r="K43" s="117"/>
      <c r="L43" s="117"/>
      <c r="M43" s="117"/>
      <c r="N43" s="117"/>
      <c r="O43" s="117"/>
      <c r="P43" s="117"/>
    </row>
    <row r="44" spans="1:16" ht="14.25">
      <c r="A44" s="117"/>
      <c r="B44" s="117"/>
      <c r="C44" s="117"/>
      <c r="D44" s="117"/>
      <c r="E44" s="89"/>
      <c r="F44" s="117"/>
      <c r="G44" s="117"/>
      <c r="H44" s="89"/>
      <c r="I44" s="117"/>
      <c r="J44" s="117"/>
      <c r="K44" s="117"/>
      <c r="L44" s="117"/>
      <c r="M44" s="117"/>
      <c r="N44" s="117"/>
      <c r="O44" s="117"/>
      <c r="P44" s="117"/>
    </row>
    <row r="45" spans="1:16" ht="14.25">
      <c r="A45" s="117"/>
      <c r="B45" s="117"/>
      <c r="C45" s="117"/>
      <c r="D45" s="117"/>
      <c r="E45" s="89"/>
      <c r="F45" s="117"/>
      <c r="G45" s="117"/>
      <c r="H45" s="89"/>
      <c r="I45" s="117"/>
      <c r="J45" s="117"/>
      <c r="K45" s="117"/>
      <c r="L45" s="117"/>
      <c r="M45" s="117"/>
      <c r="N45" s="117"/>
      <c r="O45" s="117"/>
      <c r="P45" s="117"/>
    </row>
    <row r="46" spans="1:16" ht="14.25">
      <c r="A46" s="117"/>
      <c r="B46" s="117"/>
      <c r="C46" s="117"/>
      <c r="D46" s="117"/>
      <c r="E46" s="89"/>
      <c r="F46" s="117"/>
      <c r="G46" s="117"/>
      <c r="H46" s="89"/>
      <c r="I46" s="117"/>
      <c r="J46" s="117"/>
      <c r="K46" s="117"/>
      <c r="L46" s="117"/>
      <c r="M46" s="117"/>
      <c r="N46" s="117"/>
      <c r="O46" s="117"/>
      <c r="P46" s="117"/>
    </row>
    <row r="47" spans="1:16" ht="14.25">
      <c r="A47" s="117"/>
      <c r="B47" s="117"/>
      <c r="C47" s="117"/>
      <c r="D47" s="117"/>
      <c r="E47" s="89"/>
      <c r="F47" s="117"/>
      <c r="G47" s="117"/>
      <c r="H47" s="89"/>
      <c r="I47" s="117"/>
      <c r="J47" s="117"/>
      <c r="K47" s="117"/>
      <c r="L47" s="117"/>
      <c r="M47" s="117"/>
      <c r="N47" s="117"/>
      <c r="O47" s="117"/>
      <c r="P47" s="117"/>
    </row>
    <row r="48" spans="1:16" ht="14.25">
      <c r="A48" s="117"/>
      <c r="B48" s="117"/>
      <c r="C48" s="117"/>
      <c r="D48" s="117"/>
      <c r="E48" s="89"/>
      <c r="F48" s="117"/>
      <c r="G48" s="117"/>
      <c r="H48" s="89"/>
      <c r="I48" s="117"/>
      <c r="J48" s="117"/>
      <c r="K48" s="117"/>
      <c r="L48" s="117"/>
      <c r="M48" s="117"/>
      <c r="N48" s="117"/>
      <c r="O48" s="117"/>
      <c r="P48" s="117"/>
    </row>
    <row r="49" spans="1:16" ht="14.25">
      <c r="A49" s="117"/>
      <c r="B49" s="117"/>
      <c r="C49" s="117"/>
      <c r="D49" s="117"/>
      <c r="E49" s="89"/>
      <c r="F49" s="117"/>
      <c r="G49" s="117"/>
      <c r="H49" s="89"/>
      <c r="I49" s="117"/>
      <c r="J49" s="117"/>
      <c r="K49" s="117"/>
      <c r="L49" s="117"/>
      <c r="M49" s="117"/>
      <c r="N49" s="117"/>
      <c r="O49" s="117"/>
      <c r="P49" s="117"/>
    </row>
    <row r="50" spans="1:16" ht="14.25">
      <c r="A50" s="117"/>
      <c r="B50" s="117"/>
      <c r="C50" s="117"/>
      <c r="D50" s="117"/>
      <c r="E50" s="89"/>
      <c r="F50" s="117"/>
      <c r="G50" s="117"/>
      <c r="H50" s="89"/>
      <c r="I50" s="117"/>
      <c r="J50" s="117"/>
      <c r="K50" s="117"/>
      <c r="L50" s="117"/>
      <c r="M50" s="117"/>
      <c r="N50" s="117"/>
      <c r="O50" s="117"/>
      <c r="P50" s="117"/>
    </row>
    <row r="51" spans="1:16" ht="14.25">
      <c r="A51" s="117"/>
      <c r="B51" s="117"/>
      <c r="C51" s="117"/>
      <c r="D51" s="117"/>
      <c r="E51" s="89"/>
      <c r="F51" s="117"/>
      <c r="G51" s="117"/>
      <c r="H51" s="89"/>
      <c r="I51" s="117"/>
      <c r="J51" s="117"/>
      <c r="K51" s="117"/>
      <c r="L51" s="117"/>
      <c r="M51" s="117"/>
      <c r="N51" s="117"/>
      <c r="O51" s="117"/>
      <c r="P51" s="117"/>
    </row>
    <row r="52" spans="1:16" ht="14.25">
      <c r="A52" s="117"/>
      <c r="B52" s="117"/>
      <c r="C52" s="117"/>
      <c r="D52" s="117"/>
      <c r="E52" s="89"/>
      <c r="F52" s="117"/>
      <c r="G52" s="117"/>
      <c r="H52" s="89"/>
      <c r="I52" s="117"/>
      <c r="J52" s="117"/>
      <c r="K52" s="117"/>
      <c r="L52" s="117"/>
      <c r="M52" s="117"/>
      <c r="N52" s="117"/>
      <c r="O52" s="117"/>
      <c r="P52" s="117"/>
    </row>
    <row r="53" spans="1:16" ht="14.25">
      <c r="A53" s="117"/>
      <c r="B53" s="89"/>
      <c r="C53" s="117"/>
      <c r="D53" s="117"/>
      <c r="E53" s="89"/>
      <c r="F53" s="117"/>
      <c r="G53" s="117"/>
      <c r="H53" s="89"/>
      <c r="I53" s="117"/>
      <c r="J53" s="117"/>
      <c r="K53" s="117"/>
      <c r="L53" s="117"/>
      <c r="M53" s="117"/>
      <c r="N53" s="117"/>
      <c r="O53" s="117"/>
      <c r="P53" s="117"/>
    </row>
    <row r="54" spans="1:16" ht="14.25">
      <c r="A54" s="117"/>
      <c r="B54" s="89"/>
      <c r="C54" s="117"/>
      <c r="D54" s="117"/>
      <c r="E54" s="89"/>
      <c r="F54" s="117"/>
      <c r="G54" s="117"/>
      <c r="H54" s="89"/>
      <c r="I54" s="117"/>
      <c r="J54" s="117"/>
      <c r="K54" s="117"/>
      <c r="L54" s="117"/>
      <c r="M54" s="117"/>
      <c r="N54" s="117"/>
      <c r="O54" s="117"/>
      <c r="P54" s="117"/>
    </row>
    <row r="55" spans="3:12" ht="14.25">
      <c r="C55" s="117"/>
      <c r="D55" s="117"/>
      <c r="E55" s="89"/>
      <c r="F55" s="117"/>
      <c r="G55" s="117"/>
      <c r="H55" s="89"/>
      <c r="I55" s="117"/>
      <c r="J55" s="117"/>
      <c r="K55" s="117"/>
      <c r="L55" s="89"/>
    </row>
    <row r="56" spans="3:12" ht="14.25">
      <c r="C56" s="117"/>
      <c r="D56" s="117"/>
      <c r="E56" s="89"/>
      <c r="F56" s="117"/>
      <c r="G56" s="117"/>
      <c r="H56" s="89"/>
      <c r="I56" s="117"/>
      <c r="J56" s="117"/>
      <c r="K56" s="117"/>
      <c r="L56" s="89"/>
    </row>
    <row r="57" spans="3:11" ht="14.25">
      <c r="C57" s="117"/>
      <c r="D57" s="117"/>
      <c r="E57" s="89"/>
      <c r="F57" s="117"/>
      <c r="G57" s="117"/>
      <c r="H57" s="89"/>
      <c r="I57" s="117"/>
      <c r="J57" s="117"/>
      <c r="K57" s="117"/>
    </row>
    <row r="58" spans="3:11" ht="14.25">
      <c r="C58" s="117"/>
      <c r="D58" s="117"/>
      <c r="E58" s="89"/>
      <c r="F58" s="117"/>
      <c r="G58" s="117"/>
      <c r="H58" s="89"/>
      <c r="I58" s="117"/>
      <c r="J58" s="117"/>
      <c r="K58" s="117"/>
    </row>
    <row r="59" spans="3:11" ht="14.25">
      <c r="C59" s="117"/>
      <c r="D59" s="117"/>
      <c r="E59" s="89"/>
      <c r="F59" s="117"/>
      <c r="G59" s="117"/>
      <c r="H59" s="89"/>
      <c r="I59" s="117"/>
      <c r="J59" s="117"/>
      <c r="K59" s="117"/>
    </row>
    <row r="60" spans="3:11" ht="14.25">
      <c r="C60" s="117"/>
      <c r="D60" s="117"/>
      <c r="E60" s="89"/>
      <c r="F60" s="117"/>
      <c r="G60" s="117"/>
      <c r="H60" s="89"/>
      <c r="I60" s="117"/>
      <c r="J60" s="117"/>
      <c r="K60" s="117"/>
    </row>
    <row r="61" spans="3:11" ht="14.25">
      <c r="C61" s="117"/>
      <c r="D61" s="117"/>
      <c r="E61" s="89"/>
      <c r="F61" s="117"/>
      <c r="G61" s="117"/>
      <c r="H61" s="89"/>
      <c r="I61" s="117"/>
      <c r="J61" s="117"/>
      <c r="K61" s="117"/>
    </row>
    <row r="62" spans="3:11" ht="14.25">
      <c r="C62" s="117"/>
      <c r="D62" s="117"/>
      <c r="E62" s="89"/>
      <c r="F62" s="117"/>
      <c r="G62" s="117"/>
      <c r="H62" s="89"/>
      <c r="I62" s="117"/>
      <c r="J62" s="117"/>
      <c r="K62" s="117"/>
    </row>
    <row r="63" spans="3:11" ht="14.25">
      <c r="C63" s="117"/>
      <c r="D63" s="117"/>
      <c r="E63" s="89"/>
      <c r="F63" s="117"/>
      <c r="G63" s="117"/>
      <c r="H63" s="89"/>
      <c r="I63" s="117"/>
      <c r="J63" s="117"/>
      <c r="K63" s="117"/>
    </row>
    <row r="64" spans="3:11" ht="14.25">
      <c r="C64" s="117"/>
      <c r="D64" s="117"/>
      <c r="E64" s="89"/>
      <c r="F64" s="117"/>
      <c r="G64" s="117"/>
      <c r="H64" s="89"/>
      <c r="I64" s="117"/>
      <c r="J64" s="117"/>
      <c r="K64" s="117"/>
    </row>
    <row r="65" spans="3:11" ht="14.25">
      <c r="C65" s="117"/>
      <c r="D65" s="117"/>
      <c r="E65" s="89"/>
      <c r="F65" s="117"/>
      <c r="G65" s="117"/>
      <c r="H65" s="89"/>
      <c r="I65" s="117"/>
      <c r="J65" s="117"/>
      <c r="K65" s="117"/>
    </row>
    <row r="66" spans="3:11" ht="14.25">
      <c r="C66" s="117"/>
      <c r="D66" s="117"/>
      <c r="E66" s="89"/>
      <c r="F66" s="117"/>
      <c r="G66" s="117"/>
      <c r="H66" s="89"/>
      <c r="I66" s="117"/>
      <c r="J66" s="117"/>
      <c r="K66" s="117"/>
    </row>
    <row r="67" spans="3:11" ht="14.25">
      <c r="C67" s="117"/>
      <c r="D67" s="117"/>
      <c r="E67" s="89"/>
      <c r="F67" s="117"/>
      <c r="G67" s="117"/>
      <c r="H67" s="89"/>
      <c r="I67" s="117"/>
      <c r="J67" s="117"/>
      <c r="K67" s="117"/>
    </row>
    <row r="68" spans="3:11" ht="14.25">
      <c r="C68" s="117"/>
      <c r="D68" s="117"/>
      <c r="E68" s="89"/>
      <c r="F68" s="117"/>
      <c r="G68" s="117"/>
      <c r="H68" s="89"/>
      <c r="I68" s="117"/>
      <c r="J68" s="117"/>
      <c r="K68" s="117"/>
    </row>
    <row r="69" spans="3:11" ht="14.25">
      <c r="C69" s="117"/>
      <c r="D69" s="117"/>
      <c r="E69" s="89"/>
      <c r="F69" s="117"/>
      <c r="G69" s="117"/>
      <c r="H69" s="89"/>
      <c r="I69" s="117"/>
      <c r="J69" s="117"/>
      <c r="K69" s="117"/>
    </row>
    <row r="70" spans="3:11" ht="14.25">
      <c r="C70" s="117"/>
      <c r="D70" s="117"/>
      <c r="E70" s="89"/>
      <c r="F70" s="117"/>
      <c r="G70" s="117"/>
      <c r="H70" s="89"/>
      <c r="I70" s="117"/>
      <c r="J70" s="117"/>
      <c r="K70" s="117"/>
    </row>
    <row r="71" spans="3:11" ht="14.25">
      <c r="C71" s="117"/>
      <c r="D71" s="117"/>
      <c r="E71" s="89"/>
      <c r="F71" s="117"/>
      <c r="G71" s="117"/>
      <c r="H71" s="89"/>
      <c r="I71" s="117"/>
      <c r="J71" s="117"/>
      <c r="K71" s="117"/>
    </row>
    <row r="72" spans="3:11" ht="14.25">
      <c r="C72" s="117"/>
      <c r="D72" s="117"/>
      <c r="E72" s="89"/>
      <c r="F72" s="117"/>
      <c r="G72" s="117"/>
      <c r="H72" s="89"/>
      <c r="I72" s="117"/>
      <c r="J72" s="117"/>
      <c r="K72" s="117"/>
    </row>
    <row r="73" spans="3:11" ht="14.25">
      <c r="C73" s="117"/>
      <c r="D73" s="117"/>
      <c r="E73" s="89"/>
      <c r="F73" s="117"/>
      <c r="G73" s="117"/>
      <c r="H73" s="89"/>
      <c r="I73" s="117"/>
      <c r="J73" s="117"/>
      <c r="K73" s="117"/>
    </row>
    <row r="74" spans="3:11" ht="14.25">
      <c r="C74" s="117"/>
      <c r="D74" s="117"/>
      <c r="E74" s="89"/>
      <c r="F74" s="117"/>
      <c r="G74" s="117"/>
      <c r="H74" s="89"/>
      <c r="I74" s="117"/>
      <c r="J74" s="117"/>
      <c r="K74" s="117"/>
    </row>
    <row r="75" spans="3:11" ht="14.25">
      <c r="C75" s="117"/>
      <c r="D75" s="117"/>
      <c r="E75" s="89"/>
      <c r="F75" s="117"/>
      <c r="G75" s="117"/>
      <c r="H75" s="89"/>
      <c r="I75" s="117"/>
      <c r="J75" s="117"/>
      <c r="K75" s="117"/>
    </row>
    <row r="76" spans="3:11" ht="14.25">
      <c r="C76" s="117"/>
      <c r="D76" s="117"/>
      <c r="E76" s="89"/>
      <c r="F76" s="117"/>
      <c r="G76" s="117"/>
      <c r="H76" s="89"/>
      <c r="I76" s="117"/>
      <c r="J76" s="117"/>
      <c r="K76" s="117"/>
    </row>
    <row r="77" spans="3:11" ht="14.25">
      <c r="C77" s="117"/>
      <c r="D77" s="117"/>
      <c r="E77" s="89"/>
      <c r="F77" s="117"/>
      <c r="G77" s="117"/>
      <c r="H77" s="89"/>
      <c r="I77" s="117"/>
      <c r="J77" s="117"/>
      <c r="K77" s="117"/>
    </row>
    <row r="78" spans="3:11" ht="14.25">
      <c r="C78" s="117"/>
      <c r="D78" s="117"/>
      <c r="E78" s="89"/>
      <c r="F78" s="117"/>
      <c r="G78" s="117"/>
      <c r="H78" s="89"/>
      <c r="I78" s="117"/>
      <c r="J78" s="117"/>
      <c r="K78" s="117"/>
    </row>
    <row r="79" spans="3:11" ht="14.25">
      <c r="C79" s="117"/>
      <c r="D79" s="117"/>
      <c r="E79" s="89"/>
      <c r="F79" s="117"/>
      <c r="G79" s="117"/>
      <c r="H79" s="89"/>
      <c r="I79" s="117"/>
      <c r="J79" s="117"/>
      <c r="K79" s="117"/>
    </row>
    <row r="80" spans="3:11" ht="14.25">
      <c r="C80" s="117"/>
      <c r="D80" s="117"/>
      <c r="E80" s="89"/>
      <c r="F80" s="117"/>
      <c r="G80" s="117"/>
      <c r="H80" s="89"/>
      <c r="I80" s="117"/>
      <c r="J80" s="117"/>
      <c r="K80" s="117"/>
    </row>
    <row r="81" spans="3:11" ht="14.25">
      <c r="C81" s="117"/>
      <c r="D81" s="117"/>
      <c r="E81" s="89"/>
      <c r="F81" s="117"/>
      <c r="G81" s="117"/>
      <c r="H81" s="89"/>
      <c r="I81" s="117"/>
      <c r="J81" s="117"/>
      <c r="K81" s="117"/>
    </row>
    <row r="82" spans="3:11" ht="14.25">
      <c r="C82" s="117"/>
      <c r="D82" s="117"/>
      <c r="E82" s="89"/>
      <c r="F82" s="117"/>
      <c r="G82" s="117"/>
      <c r="H82" s="89"/>
      <c r="I82" s="117"/>
      <c r="J82" s="117"/>
      <c r="K82" s="117"/>
    </row>
  </sheetData>
  <sheetProtection/>
  <printOptions horizontalCentered="1"/>
  <pageMargins left="0.75" right="0.56" top="1" bottom="1" header="0.5" footer="0.5"/>
  <pageSetup horizontalDpi="300" verticalDpi="300" orientation="portrait" scale="67" r:id="rId1"/>
  <headerFooter alignWithMargins="0">
    <oddFooter>&amp;L&amp;"Times New Roman,Regular"Permit To Operate No. 8103 
Santa Barbara APCD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36"/>
  <sheetViews>
    <sheetView showGridLines="0" zoomScale="55" zoomScaleNormal="55" zoomScalePageLayoutView="0" workbookViewId="0" topLeftCell="A1">
      <selection activeCell="S35" sqref="S35"/>
    </sheetView>
  </sheetViews>
  <sheetFormatPr defaultColWidth="9.00390625" defaultRowHeight="12.75"/>
  <cols>
    <col min="1" max="1" width="2.25390625" style="215" customWidth="1"/>
    <col min="2" max="2" width="27.50390625" style="215" customWidth="1"/>
    <col min="3" max="3" width="34.25390625" style="215" bestFit="1" customWidth="1"/>
    <col min="4" max="4" width="21.75390625" style="250" bestFit="1" customWidth="1"/>
    <col min="5" max="8" width="9.50390625" style="215" bestFit="1" customWidth="1"/>
    <col min="9" max="9" width="9.25390625" style="215" bestFit="1" customWidth="1"/>
    <col min="10" max="10" width="10.875" style="215" bestFit="1" customWidth="1"/>
    <col min="11" max="11" width="15.125" style="215" bestFit="1" customWidth="1"/>
    <col min="12" max="12" width="2.25390625" style="215" customWidth="1"/>
    <col min="13" max="13" width="9.00390625" style="215" customWidth="1"/>
    <col min="14" max="15" width="9.00390625" style="222" customWidth="1"/>
    <col min="16" max="18" width="9.00390625" style="206" customWidth="1"/>
    <col min="19" max="16384" width="9.00390625" style="207" customWidth="1"/>
  </cols>
  <sheetData>
    <row r="1" spans="1:15" ht="15">
      <c r="A1" s="204"/>
      <c r="B1" s="204"/>
      <c r="C1" s="204"/>
      <c r="D1" s="205"/>
      <c r="E1" s="204"/>
      <c r="F1" s="204"/>
      <c r="G1" s="204"/>
      <c r="H1" s="204"/>
      <c r="I1" s="204"/>
      <c r="J1" s="204"/>
      <c r="K1" s="204"/>
      <c r="L1" s="204"/>
      <c r="M1" s="204"/>
      <c r="N1" s="206"/>
      <c r="O1" s="206"/>
    </row>
    <row r="2" spans="1:15" ht="18">
      <c r="A2" s="204"/>
      <c r="B2" s="321" t="s">
        <v>158</v>
      </c>
      <c r="C2" s="321"/>
      <c r="D2" s="321"/>
      <c r="E2" s="321"/>
      <c r="F2" s="321"/>
      <c r="G2" s="321"/>
      <c r="H2" s="321"/>
      <c r="I2" s="321"/>
      <c r="J2" s="321"/>
      <c r="K2" s="321"/>
      <c r="L2" s="204"/>
      <c r="M2" s="204"/>
      <c r="N2" s="206"/>
      <c r="O2" s="206"/>
    </row>
    <row r="3" spans="1:18" ht="18">
      <c r="A3" s="204"/>
      <c r="B3" s="322" t="s">
        <v>240</v>
      </c>
      <c r="C3" s="322"/>
      <c r="D3" s="322"/>
      <c r="E3" s="322"/>
      <c r="F3" s="322"/>
      <c r="G3" s="322"/>
      <c r="H3" s="322"/>
      <c r="I3" s="322"/>
      <c r="J3" s="322"/>
      <c r="K3" s="322"/>
      <c r="L3" s="208"/>
      <c r="M3" s="208"/>
      <c r="N3" s="209"/>
      <c r="O3" s="209"/>
      <c r="P3" s="209"/>
      <c r="Q3" s="209"/>
      <c r="R3" s="209"/>
    </row>
    <row r="4" spans="1:15" ht="18">
      <c r="A4" s="204"/>
      <c r="B4" s="321" t="s">
        <v>201</v>
      </c>
      <c r="C4" s="321"/>
      <c r="D4" s="321"/>
      <c r="E4" s="321"/>
      <c r="F4" s="321"/>
      <c r="G4" s="321"/>
      <c r="H4" s="321"/>
      <c r="I4" s="321"/>
      <c r="J4" s="321"/>
      <c r="K4" s="321"/>
      <c r="L4" s="204"/>
      <c r="M4" s="204"/>
      <c r="N4" s="206"/>
      <c r="O4" s="206"/>
    </row>
    <row r="5" spans="1:15" ht="15.75">
      <c r="A5" s="204"/>
      <c r="B5" s="210"/>
      <c r="C5" s="204"/>
      <c r="D5" s="205"/>
      <c r="E5" s="204"/>
      <c r="F5" s="204"/>
      <c r="G5" s="204"/>
      <c r="H5" s="204"/>
      <c r="I5" s="204"/>
      <c r="J5" s="204"/>
      <c r="K5" s="204"/>
      <c r="L5" s="204"/>
      <c r="M5" s="204"/>
      <c r="N5" s="206"/>
      <c r="O5" s="206"/>
    </row>
    <row r="6" spans="1:15" ht="15.75" thickBot="1">
      <c r="A6" s="204"/>
      <c r="B6" s="204"/>
      <c r="C6" s="204"/>
      <c r="D6" s="205"/>
      <c r="E6" s="204"/>
      <c r="F6" s="204"/>
      <c r="G6" s="204"/>
      <c r="H6" s="204"/>
      <c r="I6" s="204"/>
      <c r="J6" s="204"/>
      <c r="K6" s="204"/>
      <c r="L6" s="204"/>
      <c r="M6" s="204"/>
      <c r="N6" s="206"/>
      <c r="O6" s="206"/>
    </row>
    <row r="7" spans="1:15" ht="15.75">
      <c r="A7" s="204"/>
      <c r="B7" s="211"/>
      <c r="C7" s="212"/>
      <c r="D7" s="213"/>
      <c r="E7" s="323" t="s">
        <v>27</v>
      </c>
      <c r="F7" s="323"/>
      <c r="G7" s="323"/>
      <c r="H7" s="323"/>
      <c r="I7" s="323"/>
      <c r="J7" s="212"/>
      <c r="K7" s="214"/>
      <c r="L7" s="204"/>
      <c r="M7" s="204"/>
      <c r="N7" s="206"/>
      <c r="O7" s="206"/>
    </row>
    <row r="8" spans="2:18" ht="60" thickBot="1">
      <c r="B8" s="216" t="s">
        <v>6</v>
      </c>
      <c r="C8" s="217" t="s">
        <v>202</v>
      </c>
      <c r="D8" s="218" t="s">
        <v>203</v>
      </c>
      <c r="E8" s="219" t="s">
        <v>162</v>
      </c>
      <c r="F8" s="219" t="s">
        <v>159</v>
      </c>
      <c r="G8" s="219" t="s">
        <v>160</v>
      </c>
      <c r="H8" s="219" t="s">
        <v>161</v>
      </c>
      <c r="I8" s="219" t="s">
        <v>204</v>
      </c>
      <c r="J8" s="220" t="s">
        <v>11</v>
      </c>
      <c r="K8" s="221" t="s">
        <v>34</v>
      </c>
      <c r="P8" s="222"/>
      <c r="Q8" s="222"/>
      <c r="R8" s="222"/>
    </row>
    <row r="9" spans="1:15" ht="15">
      <c r="A9" s="204"/>
      <c r="B9" s="223"/>
      <c r="C9" s="224"/>
      <c r="D9" s="225"/>
      <c r="E9" s="226"/>
      <c r="F9" s="226"/>
      <c r="G9" s="226"/>
      <c r="H9" s="226"/>
      <c r="I9" s="226"/>
      <c r="J9" s="226"/>
      <c r="K9" s="227"/>
      <c r="L9" s="204"/>
      <c r="M9" s="204"/>
      <c r="N9" s="206"/>
      <c r="O9" s="206"/>
    </row>
    <row r="10" spans="1:15" ht="18">
      <c r="A10" s="204"/>
      <c r="B10" s="228" t="s">
        <v>194</v>
      </c>
      <c r="C10" s="229" t="s">
        <v>186</v>
      </c>
      <c r="D10" s="230"/>
      <c r="E10" s="231">
        <f>0.099/0.38</f>
        <v>0.2605263157894737</v>
      </c>
      <c r="F10" s="231">
        <f>0.001/0.38</f>
        <v>0.002631578947368421</v>
      </c>
      <c r="G10" s="231" t="s">
        <v>19</v>
      </c>
      <c r="H10" s="231" t="s">
        <v>19</v>
      </c>
      <c r="I10" s="231">
        <f>0.087/0.38</f>
        <v>0.22894736842105262</v>
      </c>
      <c r="J10" s="232" t="s">
        <v>207</v>
      </c>
      <c r="K10" s="233" t="s">
        <v>175</v>
      </c>
      <c r="L10" s="204"/>
      <c r="M10" s="204"/>
      <c r="N10" s="206"/>
      <c r="O10" s="206"/>
    </row>
    <row r="11" spans="1:15" ht="18">
      <c r="A11" s="204"/>
      <c r="B11" s="228"/>
      <c r="C11" s="229" t="s">
        <v>187</v>
      </c>
      <c r="D11" s="230"/>
      <c r="E11" s="231">
        <f>0.099/0.43</f>
        <v>0.2302325581395349</v>
      </c>
      <c r="F11" s="231">
        <f>0.001/0.43</f>
        <v>0.002325581395348837</v>
      </c>
      <c r="G11" s="231" t="s">
        <v>19</v>
      </c>
      <c r="H11" s="231" t="s">
        <v>19</v>
      </c>
      <c r="I11" s="231">
        <f>0.087/0.43</f>
        <v>0.2023255813953488</v>
      </c>
      <c r="J11" s="232" t="s">
        <v>208</v>
      </c>
      <c r="K11" s="233" t="s">
        <v>175</v>
      </c>
      <c r="L11" s="204"/>
      <c r="M11" s="204"/>
      <c r="N11" s="206"/>
      <c r="O11" s="206"/>
    </row>
    <row r="12" spans="1:15" ht="18">
      <c r="A12" s="204"/>
      <c r="B12" s="228" t="s">
        <v>195</v>
      </c>
      <c r="C12" s="229" t="s">
        <v>186</v>
      </c>
      <c r="D12" s="230">
        <v>106451</v>
      </c>
      <c r="E12" s="231">
        <f>0.099/0.33</f>
        <v>0.3</v>
      </c>
      <c r="F12" s="231">
        <f>0.001/0.33</f>
        <v>0.0030303030303030303</v>
      </c>
      <c r="G12" s="231" t="s">
        <v>19</v>
      </c>
      <c r="H12" s="231" t="s">
        <v>19</v>
      </c>
      <c r="I12" s="231">
        <f>0.087/0.33</f>
        <v>0.2636363636363636</v>
      </c>
      <c r="J12" s="232" t="s">
        <v>209</v>
      </c>
      <c r="K12" s="233" t="s">
        <v>24</v>
      </c>
      <c r="L12" s="204"/>
      <c r="M12" s="204"/>
      <c r="N12" s="206"/>
      <c r="O12" s="206"/>
    </row>
    <row r="13" spans="1:15" ht="18">
      <c r="A13" s="204"/>
      <c r="B13" s="228"/>
      <c r="C13" s="229" t="s">
        <v>193</v>
      </c>
      <c r="D13" s="230"/>
      <c r="E13" s="231">
        <f>0.099/0.33</f>
        <v>0.3</v>
      </c>
      <c r="F13" s="231">
        <f>0.001/0.33</f>
        <v>0.0030303030303030303</v>
      </c>
      <c r="G13" s="231" t="s">
        <v>19</v>
      </c>
      <c r="H13" s="231" t="s">
        <v>19</v>
      </c>
      <c r="I13" s="231">
        <f>0.087/0.33</f>
        <v>0.2636363636363636</v>
      </c>
      <c r="J13" s="232" t="s">
        <v>209</v>
      </c>
      <c r="K13" s="233" t="s">
        <v>24</v>
      </c>
      <c r="L13" s="204"/>
      <c r="M13" s="204"/>
      <c r="N13" s="206"/>
      <c r="O13" s="206"/>
    </row>
    <row r="14" spans="1:15" ht="18">
      <c r="A14" s="204"/>
      <c r="B14" s="228"/>
      <c r="C14" s="229" t="s">
        <v>187</v>
      </c>
      <c r="D14" s="230">
        <v>106452</v>
      </c>
      <c r="E14" s="231">
        <f>0.099/0.33</f>
        <v>0.3</v>
      </c>
      <c r="F14" s="231">
        <f>0.001/0.33</f>
        <v>0.0030303030303030303</v>
      </c>
      <c r="G14" s="231" t="s">
        <v>19</v>
      </c>
      <c r="H14" s="231" t="s">
        <v>19</v>
      </c>
      <c r="I14" s="231">
        <f>0.087/0.33</f>
        <v>0.2636363636363636</v>
      </c>
      <c r="J14" s="232" t="s">
        <v>209</v>
      </c>
      <c r="K14" s="233" t="s">
        <v>24</v>
      </c>
      <c r="L14" s="204"/>
      <c r="M14" s="204"/>
      <c r="N14" s="206"/>
      <c r="O14" s="206"/>
    </row>
    <row r="15" spans="1:15" ht="18">
      <c r="A15" s="204"/>
      <c r="B15" s="228"/>
      <c r="C15" s="229" t="s">
        <v>188</v>
      </c>
      <c r="D15" s="230">
        <v>106453</v>
      </c>
      <c r="E15" s="231">
        <f>0.099/0.33</f>
        <v>0.3</v>
      </c>
      <c r="F15" s="231">
        <f>0.001/0.33</f>
        <v>0.0030303030303030303</v>
      </c>
      <c r="G15" s="231" t="s">
        <v>19</v>
      </c>
      <c r="H15" s="231" t="s">
        <v>19</v>
      </c>
      <c r="I15" s="231">
        <f>0.087/0.33</f>
        <v>0.2636363636363636</v>
      </c>
      <c r="J15" s="232" t="s">
        <v>209</v>
      </c>
      <c r="K15" s="233" t="s">
        <v>24</v>
      </c>
      <c r="L15" s="204"/>
      <c r="M15" s="204"/>
      <c r="N15" s="206"/>
      <c r="O15" s="206"/>
    </row>
    <row r="16" spans="1:15" ht="15">
      <c r="A16" s="204"/>
      <c r="B16" s="228"/>
      <c r="C16" s="229"/>
      <c r="D16" s="230"/>
      <c r="E16" s="231"/>
      <c r="F16" s="231"/>
      <c r="G16" s="231"/>
      <c r="H16" s="231"/>
      <c r="I16" s="231"/>
      <c r="J16" s="232"/>
      <c r="K16" s="233"/>
      <c r="L16" s="204"/>
      <c r="M16" s="204"/>
      <c r="N16" s="206"/>
      <c r="O16" s="206"/>
    </row>
    <row r="17" spans="1:15" ht="18">
      <c r="A17" s="204"/>
      <c r="B17" s="228" t="s">
        <v>131</v>
      </c>
      <c r="C17" s="229" t="s">
        <v>49</v>
      </c>
      <c r="D17" s="230">
        <v>100195</v>
      </c>
      <c r="E17" s="231">
        <f>0.032/0.606</f>
        <v>0.052805280528052806</v>
      </c>
      <c r="F17" s="231">
        <f>0.016/0.606</f>
        <v>0.026402640264026403</v>
      </c>
      <c r="G17" s="231">
        <f>0.01/0.606</f>
        <v>0.016501650165016504</v>
      </c>
      <c r="H17" s="231" t="s">
        <v>19</v>
      </c>
      <c r="I17" s="231">
        <f>0.003/0.606</f>
        <v>0.0049504950495049506</v>
      </c>
      <c r="J17" s="232" t="s">
        <v>210</v>
      </c>
      <c r="K17" s="233" t="s">
        <v>51</v>
      </c>
      <c r="L17" s="204"/>
      <c r="M17" s="204"/>
      <c r="N17" s="206"/>
      <c r="O17" s="206"/>
    </row>
    <row r="18" spans="1:15" ht="15">
      <c r="A18" s="204"/>
      <c r="B18" s="228"/>
      <c r="C18" s="229"/>
      <c r="D18" s="230"/>
      <c r="E18" s="231"/>
      <c r="F18" s="231"/>
      <c r="G18" s="231"/>
      <c r="H18" s="231"/>
      <c r="I18" s="231"/>
      <c r="J18" s="232"/>
      <c r="K18" s="233"/>
      <c r="L18" s="204"/>
      <c r="M18" s="204"/>
      <c r="N18" s="206"/>
      <c r="O18" s="206"/>
    </row>
    <row r="19" spans="1:15" ht="15">
      <c r="A19" s="204"/>
      <c r="B19" s="228" t="s">
        <v>22</v>
      </c>
      <c r="C19" s="229" t="s">
        <v>182</v>
      </c>
      <c r="D19" s="230">
        <v>106334</v>
      </c>
      <c r="E19" s="234" t="s">
        <v>19</v>
      </c>
      <c r="F19" s="235">
        <v>0.05</v>
      </c>
      <c r="G19" s="236">
        <v>0.05</v>
      </c>
      <c r="H19" s="236">
        <v>0.05</v>
      </c>
      <c r="I19" s="234" t="s">
        <v>19</v>
      </c>
      <c r="J19" s="237" t="s">
        <v>206</v>
      </c>
      <c r="K19" s="233" t="s">
        <v>205</v>
      </c>
      <c r="L19" s="204"/>
      <c r="M19" s="204"/>
      <c r="N19" s="206"/>
      <c r="O19" s="206"/>
    </row>
    <row r="20" spans="1:15" ht="15.75" thickBot="1">
      <c r="A20" s="204"/>
      <c r="B20" s="238"/>
      <c r="C20" s="239"/>
      <c r="D20" s="240"/>
      <c r="E20" s="241"/>
      <c r="F20" s="241"/>
      <c r="G20" s="241"/>
      <c r="H20" s="241"/>
      <c r="I20" s="241"/>
      <c r="J20" s="242"/>
      <c r="K20" s="243"/>
      <c r="L20" s="204"/>
      <c r="M20" s="204"/>
      <c r="N20" s="206"/>
      <c r="O20" s="206"/>
    </row>
    <row r="21" spans="1:19" s="206" customFormat="1" ht="15">
      <c r="A21" s="204"/>
      <c r="B21" s="244"/>
      <c r="C21" s="244"/>
      <c r="D21" s="245"/>
      <c r="E21" s="246"/>
      <c r="F21" s="247"/>
      <c r="G21" s="247"/>
      <c r="H21" s="247"/>
      <c r="I21" s="246"/>
      <c r="J21" s="232"/>
      <c r="K21" s="232"/>
      <c r="L21" s="204"/>
      <c r="M21" s="204"/>
      <c r="S21" s="207"/>
    </row>
    <row r="22" spans="1:19" s="206" customFormat="1" ht="15">
      <c r="A22" s="204"/>
      <c r="B22" s="248" t="s">
        <v>211</v>
      </c>
      <c r="C22" s="204"/>
      <c r="D22" s="205"/>
      <c r="E22" s="204"/>
      <c r="F22" s="204"/>
      <c r="G22" s="204"/>
      <c r="H22" s="204"/>
      <c r="I22" s="204"/>
      <c r="J22" s="204"/>
      <c r="K22" s="204"/>
      <c r="L22" s="204"/>
      <c r="M22" s="204"/>
      <c r="S22" s="207"/>
    </row>
    <row r="23" spans="1:15" ht="15">
      <c r="A23" s="204"/>
      <c r="B23" s="249" t="s">
        <v>215</v>
      </c>
      <c r="C23" s="204"/>
      <c r="D23" s="205"/>
      <c r="E23" s="204"/>
      <c r="F23" s="204"/>
      <c r="G23" s="204"/>
      <c r="H23" s="204"/>
      <c r="I23" s="204"/>
      <c r="J23" s="204"/>
      <c r="K23" s="204"/>
      <c r="L23" s="204"/>
      <c r="M23" s="204"/>
      <c r="N23" s="206"/>
      <c r="O23" s="206"/>
    </row>
    <row r="24" spans="1:15" ht="15">
      <c r="A24" s="204"/>
      <c r="B24" s="249" t="s">
        <v>218</v>
      </c>
      <c r="C24" s="204"/>
      <c r="D24" s="205"/>
      <c r="E24" s="204"/>
      <c r="F24" s="204"/>
      <c r="G24" s="204"/>
      <c r="H24" s="204"/>
      <c r="I24" s="204"/>
      <c r="J24" s="204"/>
      <c r="K24" s="204"/>
      <c r="L24" s="204"/>
      <c r="M24" s="204"/>
      <c r="N24" s="206"/>
      <c r="O24" s="206"/>
    </row>
    <row r="25" spans="1:15" ht="15">
      <c r="A25" s="204"/>
      <c r="B25" s="249" t="s">
        <v>219</v>
      </c>
      <c r="C25" s="204"/>
      <c r="D25" s="205"/>
      <c r="E25" s="204"/>
      <c r="F25" s="204"/>
      <c r="G25" s="204"/>
      <c r="H25" s="204"/>
      <c r="I25" s="204"/>
      <c r="J25" s="204"/>
      <c r="K25" s="204"/>
      <c r="L25" s="204"/>
      <c r="M25" s="204"/>
      <c r="N25" s="206"/>
      <c r="O25" s="206"/>
    </row>
    <row r="26" spans="1:15" ht="15">
      <c r="A26" s="204"/>
      <c r="B26" s="249" t="s">
        <v>221</v>
      </c>
      <c r="C26" s="204"/>
      <c r="D26" s="205"/>
      <c r="E26" s="204"/>
      <c r="F26" s="204"/>
      <c r="G26" s="204"/>
      <c r="H26" s="204"/>
      <c r="I26" s="204"/>
      <c r="J26" s="204"/>
      <c r="K26" s="204"/>
      <c r="L26" s="204"/>
      <c r="M26" s="204"/>
      <c r="N26" s="206"/>
      <c r="O26" s="206"/>
    </row>
    <row r="27" spans="1:15" ht="15">
      <c r="A27" s="204"/>
      <c r="B27" s="249"/>
      <c r="C27" s="204"/>
      <c r="D27" s="205"/>
      <c r="E27" s="204"/>
      <c r="F27" s="204"/>
      <c r="G27" s="204"/>
      <c r="H27" s="204"/>
      <c r="I27" s="204"/>
      <c r="J27" s="204"/>
      <c r="K27" s="204"/>
      <c r="L27" s="204"/>
      <c r="M27" s="204"/>
      <c r="N27" s="206"/>
      <c r="O27" s="206"/>
    </row>
    <row r="28" spans="1:18" s="255" customFormat="1" ht="12.75">
      <c r="A28" s="251"/>
      <c r="B28" s="252" t="s">
        <v>212</v>
      </c>
      <c r="C28" s="251"/>
      <c r="D28" s="253"/>
      <c r="E28" s="251"/>
      <c r="F28" s="251"/>
      <c r="G28" s="251"/>
      <c r="H28" s="251"/>
      <c r="I28" s="251"/>
      <c r="J28" s="251"/>
      <c r="K28" s="251"/>
      <c r="L28" s="251"/>
      <c r="M28" s="251"/>
      <c r="N28" s="254"/>
      <c r="O28" s="254"/>
      <c r="P28" s="254"/>
      <c r="Q28" s="254"/>
      <c r="R28" s="254"/>
    </row>
    <row r="29" spans="1:18" s="255" customFormat="1" ht="12.75">
      <c r="A29" s="251"/>
      <c r="B29" s="252" t="s">
        <v>213</v>
      </c>
      <c r="C29" s="251"/>
      <c r="D29" s="253"/>
      <c r="E29" s="251"/>
      <c r="F29" s="251"/>
      <c r="G29" s="251"/>
      <c r="H29" s="251"/>
      <c r="I29" s="251"/>
      <c r="J29" s="251"/>
      <c r="K29" s="251"/>
      <c r="L29" s="251"/>
      <c r="M29" s="251"/>
      <c r="N29" s="254"/>
      <c r="O29" s="254"/>
      <c r="P29" s="254"/>
      <c r="Q29" s="254"/>
      <c r="R29" s="254"/>
    </row>
    <row r="30" spans="1:18" s="255" customFormat="1" ht="12.75">
      <c r="A30" s="256"/>
      <c r="B30" s="252" t="s">
        <v>214</v>
      </c>
      <c r="C30" s="256"/>
      <c r="D30" s="257"/>
      <c r="E30" s="256"/>
      <c r="F30" s="256"/>
      <c r="G30" s="256"/>
      <c r="H30" s="256"/>
      <c r="I30" s="256"/>
      <c r="J30" s="256"/>
      <c r="K30" s="256"/>
      <c r="L30" s="256"/>
      <c r="M30" s="256"/>
      <c r="N30" s="258"/>
      <c r="O30" s="258"/>
      <c r="P30" s="258"/>
      <c r="Q30" s="258"/>
      <c r="R30" s="258"/>
    </row>
    <row r="31" spans="1:18" s="255" customFormat="1" ht="12.75">
      <c r="A31" s="256"/>
      <c r="B31" s="252" t="s">
        <v>216</v>
      </c>
      <c r="C31" s="256"/>
      <c r="D31" s="257"/>
      <c r="E31" s="256"/>
      <c r="F31" s="256"/>
      <c r="G31" s="256"/>
      <c r="H31" s="256"/>
      <c r="I31" s="256"/>
      <c r="J31" s="256"/>
      <c r="K31" s="256"/>
      <c r="L31" s="256"/>
      <c r="M31" s="256"/>
      <c r="N31" s="258"/>
      <c r="O31" s="258"/>
      <c r="P31" s="258"/>
      <c r="Q31" s="258"/>
      <c r="R31" s="258"/>
    </row>
    <row r="32" spans="1:18" s="255" customFormat="1" ht="12.75">
      <c r="A32" s="256"/>
      <c r="B32" s="252" t="s">
        <v>217</v>
      </c>
      <c r="C32" s="256"/>
      <c r="D32" s="257"/>
      <c r="E32" s="256"/>
      <c r="F32" s="256"/>
      <c r="G32" s="256"/>
      <c r="H32" s="256"/>
      <c r="I32" s="256"/>
      <c r="J32" s="256"/>
      <c r="K32" s="256"/>
      <c r="L32" s="256"/>
      <c r="M32" s="256"/>
      <c r="N32" s="258"/>
      <c r="O32" s="258"/>
      <c r="P32" s="254"/>
      <c r="Q32" s="254"/>
      <c r="R32" s="254"/>
    </row>
    <row r="33" ht="15">
      <c r="B33" s="252" t="s">
        <v>220</v>
      </c>
    </row>
    <row r="34" ht="15">
      <c r="B34" s="252"/>
    </row>
    <row r="35" ht="15">
      <c r="B35" s="252"/>
    </row>
    <row r="36" ht="15">
      <c r="B36" s="252"/>
    </row>
  </sheetData>
  <sheetProtection/>
  <mergeCells count="4">
    <mergeCell ref="B2:K2"/>
    <mergeCell ref="B3:K3"/>
    <mergeCell ref="B4:K4"/>
    <mergeCell ref="E7:I7"/>
  </mergeCells>
  <printOptions/>
  <pageMargins left="0.75" right="0.75" top="1.26" bottom="1" header="0.77" footer="0.5"/>
  <pageSetup fitToHeight="1" fitToWidth="1" horizontalDpi="300" verticalDpi="300" orientation="landscape" scale="97" r:id="rId1"/>
</worksheet>
</file>

<file path=xl/worksheets/sheet8.xml><?xml version="1.0" encoding="utf-8"?>
<worksheet xmlns="http://schemas.openxmlformats.org/spreadsheetml/2006/main" xmlns:r="http://schemas.openxmlformats.org/officeDocument/2006/relationships">
  <dimension ref="A1:P25"/>
  <sheetViews>
    <sheetView zoomScale="55" zoomScaleNormal="55" zoomScalePageLayoutView="0" workbookViewId="0" topLeftCell="A1">
      <selection activeCell="D37" sqref="D37"/>
    </sheetView>
  </sheetViews>
  <sheetFormatPr defaultColWidth="9.00390625" defaultRowHeight="12.75"/>
  <cols>
    <col min="1" max="1" width="2.25390625" style="264" customWidth="1"/>
    <col min="2" max="2" width="27.50390625" style="264" customWidth="1"/>
    <col min="3" max="3" width="34.25390625" style="264" bestFit="1" customWidth="1"/>
    <col min="4" max="4" width="21.75390625" style="264" bestFit="1" customWidth="1"/>
    <col min="5" max="5" width="9.875" style="264" bestFit="1" customWidth="1"/>
    <col min="6" max="8" width="10.125" style="264" bestFit="1" customWidth="1"/>
    <col min="9" max="9" width="10.25390625" style="264" bestFit="1" customWidth="1"/>
    <col min="10" max="10" width="2.25390625" style="264" customWidth="1"/>
    <col min="11" max="11" width="9.00390625" style="264" customWidth="1"/>
    <col min="12" max="13" width="9.00390625" style="268" customWidth="1"/>
    <col min="14" max="16" width="9.00390625" style="260" customWidth="1"/>
    <col min="17" max="16384" width="9.00390625" style="207" customWidth="1"/>
  </cols>
  <sheetData>
    <row r="1" spans="1:13" ht="15">
      <c r="A1" s="259"/>
      <c r="B1" s="259"/>
      <c r="C1" s="259"/>
      <c r="D1" s="259"/>
      <c r="E1" s="259"/>
      <c r="F1" s="259"/>
      <c r="G1" s="259"/>
      <c r="H1" s="259"/>
      <c r="I1" s="259"/>
      <c r="J1" s="259"/>
      <c r="K1" s="259"/>
      <c r="L1" s="260"/>
      <c r="M1" s="260"/>
    </row>
    <row r="2" spans="1:13" ht="18">
      <c r="A2" s="259"/>
      <c r="B2" s="324" t="s">
        <v>163</v>
      </c>
      <c r="C2" s="324"/>
      <c r="D2" s="324"/>
      <c r="E2" s="324"/>
      <c r="F2" s="324"/>
      <c r="G2" s="324"/>
      <c r="H2" s="324"/>
      <c r="I2" s="324"/>
      <c r="J2" s="259"/>
      <c r="K2" s="259"/>
      <c r="L2" s="260"/>
      <c r="M2" s="260"/>
    </row>
    <row r="3" spans="1:16" ht="18">
      <c r="A3" s="259"/>
      <c r="B3" s="325" t="s">
        <v>240</v>
      </c>
      <c r="C3" s="325"/>
      <c r="D3" s="325"/>
      <c r="E3" s="325"/>
      <c r="F3" s="325"/>
      <c r="G3" s="325"/>
      <c r="H3" s="325"/>
      <c r="I3" s="325"/>
      <c r="J3" s="261"/>
      <c r="K3" s="261"/>
      <c r="L3" s="262"/>
      <c r="M3" s="262"/>
      <c r="N3" s="262"/>
      <c r="O3" s="262"/>
      <c r="P3" s="262"/>
    </row>
    <row r="4" spans="1:13" ht="18">
      <c r="A4" s="259"/>
      <c r="B4" s="324" t="s">
        <v>222</v>
      </c>
      <c r="C4" s="324"/>
      <c r="D4" s="324"/>
      <c r="E4" s="324"/>
      <c r="F4" s="324"/>
      <c r="G4" s="324"/>
      <c r="H4" s="324"/>
      <c r="I4" s="324"/>
      <c r="J4" s="259"/>
      <c r="K4" s="259"/>
      <c r="L4" s="260"/>
      <c r="M4" s="260"/>
    </row>
    <row r="5" spans="1:13" ht="15.75">
      <c r="A5" s="259"/>
      <c r="B5" s="263"/>
      <c r="C5" s="259"/>
      <c r="D5" s="259"/>
      <c r="E5" s="259"/>
      <c r="F5" s="259"/>
      <c r="G5" s="259"/>
      <c r="H5" s="259"/>
      <c r="I5" s="259"/>
      <c r="J5" s="259"/>
      <c r="K5" s="259"/>
      <c r="L5" s="260"/>
      <c r="M5" s="260"/>
    </row>
    <row r="6" spans="1:13" ht="15">
      <c r="A6" s="259"/>
      <c r="B6" s="259"/>
      <c r="C6" s="259"/>
      <c r="D6" s="259"/>
      <c r="E6" s="259"/>
      <c r="F6" s="259"/>
      <c r="G6" s="259"/>
      <c r="H6" s="259"/>
      <c r="I6" s="259"/>
      <c r="J6" s="259"/>
      <c r="K6" s="259"/>
      <c r="L6" s="260"/>
      <c r="M6" s="260"/>
    </row>
    <row r="7" spans="2:16" ht="54.75" thickBot="1">
      <c r="B7" s="265" t="s">
        <v>6</v>
      </c>
      <c r="C7" s="265" t="s">
        <v>202</v>
      </c>
      <c r="D7" s="266" t="s">
        <v>203</v>
      </c>
      <c r="E7" s="267" t="s">
        <v>162</v>
      </c>
      <c r="F7" s="267" t="s">
        <v>159</v>
      </c>
      <c r="G7" s="267" t="s">
        <v>160</v>
      </c>
      <c r="H7" s="267" t="s">
        <v>161</v>
      </c>
      <c r="I7" s="267" t="s">
        <v>223</v>
      </c>
      <c r="N7" s="268"/>
      <c r="O7" s="268"/>
      <c r="P7" s="268"/>
    </row>
    <row r="8" spans="1:13" ht="15">
      <c r="A8" s="259"/>
      <c r="B8" s="269"/>
      <c r="C8" s="270"/>
      <c r="D8" s="270"/>
      <c r="E8" s="271"/>
      <c r="F8" s="271"/>
      <c r="G8" s="271"/>
      <c r="H8" s="271"/>
      <c r="I8" s="272"/>
      <c r="J8" s="259"/>
      <c r="K8" s="259"/>
      <c r="L8" s="260"/>
      <c r="M8" s="260"/>
    </row>
    <row r="9" spans="1:13" ht="15">
      <c r="A9" s="259"/>
      <c r="B9" s="273" t="s">
        <v>194</v>
      </c>
      <c r="C9" s="274" t="s">
        <v>186</v>
      </c>
      <c r="D9" s="275"/>
      <c r="E9" s="276">
        <f>'Revised HAP EmFac'!E10*Emissions!$H11</f>
        <v>0.00869617302631579</v>
      </c>
      <c r="F9" s="276">
        <f>'Revised HAP EmFac'!F10*Emissions!$H11</f>
        <v>8.784013157894736E-05</v>
      </c>
      <c r="G9" s="277" t="s">
        <v>19</v>
      </c>
      <c r="H9" s="277" t="s">
        <v>19</v>
      </c>
      <c r="I9" s="278">
        <f>'Revised HAP EmFac'!I10*Emissions!$H11</f>
        <v>0.00764209144736842</v>
      </c>
      <c r="J9" s="259"/>
      <c r="K9" s="259"/>
      <c r="L9" s="260"/>
      <c r="M9" s="260"/>
    </row>
    <row r="10" spans="1:13" ht="15">
      <c r="A10" s="259"/>
      <c r="B10" s="273"/>
      <c r="C10" s="274" t="s">
        <v>187</v>
      </c>
      <c r="D10" s="275"/>
      <c r="E10" s="276">
        <f>'Revised HAP EmFac'!E11*Emissions!$H12</f>
        <v>0.007841295</v>
      </c>
      <c r="F10" s="276">
        <f>'Revised HAP EmFac'!F11*Emissions!$H12</f>
        <v>7.9205E-05</v>
      </c>
      <c r="G10" s="277" t="s">
        <v>19</v>
      </c>
      <c r="H10" s="277" t="s">
        <v>19</v>
      </c>
      <c r="I10" s="278">
        <f>'Revised HAP EmFac'!I11*Emissions!$H12</f>
        <v>0.006890835</v>
      </c>
      <c r="J10" s="259"/>
      <c r="K10" s="259"/>
      <c r="L10" s="260"/>
      <c r="M10" s="260"/>
    </row>
    <row r="11" spans="1:13" ht="15">
      <c r="A11" s="259"/>
      <c r="B11" s="273" t="s">
        <v>195</v>
      </c>
      <c r="C11" s="274" t="s">
        <v>186</v>
      </c>
      <c r="D11" s="275">
        <v>106451</v>
      </c>
      <c r="E11" s="276">
        <f>'Revised HAP EmFac'!E12*Emissions!$H13</f>
        <v>0.00042721424999999996</v>
      </c>
      <c r="F11" s="276">
        <f>'Revised HAP EmFac'!F12*Emissions!$H13</f>
        <v>4.315295454545454E-06</v>
      </c>
      <c r="G11" s="277" t="s">
        <v>19</v>
      </c>
      <c r="H11" s="277" t="s">
        <v>19</v>
      </c>
      <c r="I11" s="278">
        <f>'Revised HAP EmFac'!I12*Emissions!$H13</f>
        <v>0.0003754307045454545</v>
      </c>
      <c r="J11" s="259"/>
      <c r="K11" s="259"/>
      <c r="L11" s="260"/>
      <c r="M11" s="260"/>
    </row>
    <row r="12" spans="1:13" ht="15">
      <c r="A12" s="259"/>
      <c r="B12" s="273"/>
      <c r="C12" s="274" t="s">
        <v>193</v>
      </c>
      <c r="D12" s="275"/>
      <c r="E12" s="276">
        <f>'Revised HAP EmFac'!E13*Emissions!$H14</f>
        <v>0.00125706</v>
      </c>
      <c r="F12" s="276">
        <f>'Revised HAP EmFac'!F13*Emissions!$H14</f>
        <v>1.2697575757575756E-05</v>
      </c>
      <c r="G12" s="277" t="s">
        <v>19</v>
      </c>
      <c r="H12" s="277" t="s">
        <v>19</v>
      </c>
      <c r="I12" s="278">
        <f>'Revised HAP EmFac'!I13*Emissions!$H14</f>
        <v>0.0011046890909090909</v>
      </c>
      <c r="J12" s="259"/>
      <c r="K12" s="259"/>
      <c r="L12" s="260"/>
      <c r="M12" s="260"/>
    </row>
    <row r="13" spans="1:13" ht="15">
      <c r="A13" s="259"/>
      <c r="B13" s="273"/>
      <c r="C13" s="274" t="s">
        <v>187</v>
      </c>
      <c r="D13" s="275">
        <v>106452</v>
      </c>
      <c r="E13" s="276">
        <f>'Revised HAP EmFac'!E14*Emissions!$H15</f>
        <v>0.0010914959999999997</v>
      </c>
      <c r="F13" s="276">
        <f>'Revised HAP EmFac'!F14*Emissions!$H15</f>
        <v>1.102521212121212E-05</v>
      </c>
      <c r="G13" s="277" t="s">
        <v>19</v>
      </c>
      <c r="H13" s="277" t="s">
        <v>19</v>
      </c>
      <c r="I13" s="278">
        <f>'Revised HAP EmFac'!I14*Emissions!$H15</f>
        <v>0.0009591934545454543</v>
      </c>
      <c r="J13" s="259"/>
      <c r="K13" s="259"/>
      <c r="L13" s="260"/>
      <c r="M13" s="260"/>
    </row>
    <row r="14" spans="1:13" ht="15">
      <c r="A14" s="259"/>
      <c r="B14" s="273"/>
      <c r="C14" s="274" t="s">
        <v>188</v>
      </c>
      <c r="D14" s="275">
        <v>106453</v>
      </c>
      <c r="E14" s="276">
        <f>'Revised HAP EmFac'!E15*Emissions!$H16</f>
        <v>0.0015329999999999999</v>
      </c>
      <c r="F14" s="276">
        <f>'Revised HAP EmFac'!F15*Emissions!$H16</f>
        <v>1.5484848484848485E-05</v>
      </c>
      <c r="G14" s="277" t="s">
        <v>19</v>
      </c>
      <c r="H14" s="277" t="s">
        <v>19</v>
      </c>
      <c r="I14" s="278">
        <f>'Revised HAP EmFac'!I15*Emissions!$H16</f>
        <v>0.0013471818181818181</v>
      </c>
      <c r="J14" s="259"/>
      <c r="K14" s="259"/>
      <c r="L14" s="260"/>
      <c r="M14" s="260"/>
    </row>
    <row r="15" spans="1:13" ht="15">
      <c r="A15" s="259"/>
      <c r="B15" s="273"/>
      <c r="C15" s="274"/>
      <c r="D15" s="275"/>
      <c r="E15" s="276"/>
      <c r="F15" s="276"/>
      <c r="G15" s="277"/>
      <c r="H15" s="277"/>
      <c r="I15" s="278"/>
      <c r="J15" s="259"/>
      <c r="K15" s="259"/>
      <c r="L15" s="260"/>
      <c r="M15" s="260"/>
    </row>
    <row r="16" spans="1:13" ht="15">
      <c r="A16" s="259"/>
      <c r="B16" s="273" t="s">
        <v>131</v>
      </c>
      <c r="C16" s="274" t="s">
        <v>49</v>
      </c>
      <c r="D16" s="275">
        <v>100195</v>
      </c>
      <c r="E16" s="276">
        <f>'Revised HAP EmFac'!E17*Emissions!$H18</f>
        <v>0.0379021782178218</v>
      </c>
      <c r="F16" s="276">
        <f>'Revised HAP EmFac'!F17*Emissions!$H18</f>
        <v>0.0189510891089109</v>
      </c>
      <c r="G16" s="276">
        <f>'Revised HAP EmFac'!G17*Emissions!$H18</f>
        <v>0.011844430693069313</v>
      </c>
      <c r="H16" s="277" t="s">
        <v>19</v>
      </c>
      <c r="I16" s="278">
        <f>'Revised HAP EmFac'!I17*Emissions!$H18</f>
        <v>0.0035533292079207935</v>
      </c>
      <c r="J16" s="259"/>
      <c r="K16" s="259"/>
      <c r="L16" s="260"/>
      <c r="M16" s="260"/>
    </row>
    <row r="17" spans="1:13" ht="15">
      <c r="A17" s="259"/>
      <c r="B17" s="273"/>
      <c r="C17" s="274"/>
      <c r="D17" s="275"/>
      <c r="E17" s="276"/>
      <c r="F17" s="276"/>
      <c r="G17" s="276"/>
      <c r="H17" s="276"/>
      <c r="I17" s="317"/>
      <c r="J17" s="259"/>
      <c r="K17" s="259"/>
      <c r="L17" s="260"/>
      <c r="M17" s="260"/>
    </row>
    <row r="18" spans="1:13" ht="15">
      <c r="A18" s="259"/>
      <c r="B18" s="273" t="s">
        <v>22</v>
      </c>
      <c r="C18" s="274" t="s">
        <v>182</v>
      </c>
      <c r="D18" s="275">
        <v>106334</v>
      </c>
      <c r="E18" s="277" t="s">
        <v>19</v>
      </c>
      <c r="F18" s="276">
        <f>'Revised HAP EmFac'!F19*Emissions!$H20</f>
        <v>0</v>
      </c>
      <c r="G18" s="276">
        <f>'Revised HAP EmFac'!G19*Emissions!$H20</f>
        <v>0</v>
      </c>
      <c r="H18" s="276">
        <f>'Revised HAP EmFac'!H19*Emissions!$H20</f>
        <v>0</v>
      </c>
      <c r="I18" s="317" t="s">
        <v>19</v>
      </c>
      <c r="J18" s="259"/>
      <c r="K18" s="259"/>
      <c r="L18" s="260"/>
      <c r="M18" s="260"/>
    </row>
    <row r="19" spans="1:13" ht="15.75" thickBot="1">
      <c r="A19" s="259"/>
      <c r="B19" s="279"/>
      <c r="C19" s="280"/>
      <c r="D19" s="280"/>
      <c r="E19" s="281"/>
      <c r="F19" s="281"/>
      <c r="G19" s="281"/>
      <c r="H19" s="281"/>
      <c r="I19" s="282"/>
      <c r="J19" s="259"/>
      <c r="K19" s="259"/>
      <c r="L19" s="260"/>
      <c r="M19" s="260"/>
    </row>
    <row r="20" spans="2:16" ht="15">
      <c r="B20" s="249"/>
      <c r="N20" s="268"/>
      <c r="O20" s="268"/>
      <c r="P20" s="268"/>
    </row>
    <row r="21" spans="1:16" s="255" customFormat="1" ht="12.75">
      <c r="A21" s="283"/>
      <c r="B21" s="284" t="s">
        <v>212</v>
      </c>
      <c r="C21" s="283"/>
      <c r="D21" s="283"/>
      <c r="E21" s="283"/>
      <c r="F21" s="283"/>
      <c r="G21" s="283"/>
      <c r="H21" s="283"/>
      <c r="I21" s="283"/>
      <c r="J21" s="283"/>
      <c r="K21" s="283"/>
      <c r="L21" s="285"/>
      <c r="M21" s="285"/>
      <c r="N21" s="285"/>
      <c r="O21" s="285"/>
      <c r="P21" s="285"/>
    </row>
    <row r="22" spans="1:16" s="255" customFormat="1" ht="12.75">
      <c r="A22" s="283"/>
      <c r="B22" s="284" t="s">
        <v>224</v>
      </c>
      <c r="C22" s="283"/>
      <c r="D22" s="283"/>
      <c r="E22" s="283"/>
      <c r="F22" s="283"/>
      <c r="G22" s="283"/>
      <c r="H22" s="283"/>
      <c r="I22" s="283"/>
      <c r="J22" s="283"/>
      <c r="K22" s="283"/>
      <c r="L22" s="285"/>
      <c r="M22" s="285"/>
      <c r="N22" s="285"/>
      <c r="O22" s="285"/>
      <c r="P22" s="285"/>
    </row>
    <row r="23" spans="1:16" s="255" customFormat="1" ht="12.75">
      <c r="A23" s="286"/>
      <c r="B23" s="284" t="s">
        <v>225</v>
      </c>
      <c r="C23" s="286"/>
      <c r="D23" s="286"/>
      <c r="E23" s="286"/>
      <c r="F23" s="286"/>
      <c r="G23" s="286"/>
      <c r="H23" s="286"/>
      <c r="I23" s="286"/>
      <c r="J23" s="286"/>
      <c r="K23" s="286"/>
      <c r="L23" s="287"/>
      <c r="M23" s="287"/>
      <c r="N23" s="287"/>
      <c r="O23" s="287"/>
      <c r="P23" s="287"/>
    </row>
    <row r="24" spans="1:16" s="255" customFormat="1" ht="12.75">
      <c r="A24" s="286"/>
      <c r="B24" s="288" t="s">
        <v>226</v>
      </c>
      <c r="C24" s="286"/>
      <c r="D24" s="286"/>
      <c r="E24" s="286"/>
      <c r="F24" s="286"/>
      <c r="G24" s="286"/>
      <c r="H24" s="286"/>
      <c r="I24" s="286"/>
      <c r="J24" s="286"/>
      <c r="K24" s="286"/>
      <c r="L24" s="287"/>
      <c r="M24" s="287"/>
      <c r="N24" s="287"/>
      <c r="O24" s="287"/>
      <c r="P24" s="287"/>
    </row>
    <row r="25" spans="1:16" s="255" customFormat="1" ht="12.75">
      <c r="A25" s="286"/>
      <c r="B25" s="289" t="s">
        <v>227</v>
      </c>
      <c r="C25" s="286"/>
      <c r="D25" s="286"/>
      <c r="E25" s="286"/>
      <c r="F25" s="286"/>
      <c r="G25" s="286"/>
      <c r="H25" s="286"/>
      <c r="I25" s="286"/>
      <c r="J25" s="286"/>
      <c r="K25" s="286"/>
      <c r="L25" s="287"/>
      <c r="M25" s="287"/>
      <c r="N25" s="285"/>
      <c r="O25" s="285"/>
      <c r="P25" s="285"/>
    </row>
  </sheetData>
  <sheetProtection/>
  <mergeCells count="3">
    <mergeCell ref="B2:I2"/>
    <mergeCell ref="B3:I3"/>
    <mergeCell ref="B4:I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Z16"/>
  <sheetViews>
    <sheetView tabSelected="1" zoomScale="48" zoomScaleNormal="48" zoomScalePageLayoutView="0" workbookViewId="0" topLeftCell="A1">
      <selection activeCell="Q27" sqref="Q27"/>
    </sheetView>
  </sheetViews>
  <sheetFormatPr defaultColWidth="9.00390625" defaultRowHeight="12.75"/>
  <cols>
    <col min="1" max="1" width="3.25390625" style="255" bestFit="1" customWidth="1"/>
    <col min="2" max="2" width="34.125" style="255" customWidth="1"/>
    <col min="3" max="3" width="14.75390625" style="255" bestFit="1" customWidth="1"/>
    <col min="4" max="5" width="9.75390625" style="255" bestFit="1" customWidth="1"/>
    <col min="6" max="6" width="9.25390625" style="255" bestFit="1" customWidth="1"/>
    <col min="7" max="9" width="9.75390625" style="255" bestFit="1" customWidth="1"/>
    <col min="10" max="39" width="9.25390625" style="255" bestFit="1" customWidth="1"/>
    <col min="40" max="40" width="9.75390625" style="255" bestFit="1" customWidth="1"/>
    <col min="41" max="41" width="8.75390625" style="255" customWidth="1"/>
    <col min="42" max="42" width="9.00390625" style="255" customWidth="1"/>
    <col min="43" max="43" width="8.75390625" style="255" bestFit="1" customWidth="1"/>
    <col min="44" max="46" width="9.25390625" style="255" bestFit="1" customWidth="1"/>
    <col min="47" max="16384" width="9.00390625" style="255" customWidth="1"/>
  </cols>
  <sheetData>
    <row r="1" spans="1:64" s="291" customFormat="1" ht="12.75">
      <c r="A1" s="290"/>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290"/>
      <c r="AV1" s="290"/>
      <c r="AW1" s="290"/>
      <c r="AX1" s="290"/>
      <c r="AY1" s="290"/>
      <c r="AZ1" s="290"/>
      <c r="BA1" s="290"/>
      <c r="BB1" s="290"/>
      <c r="BC1" s="290"/>
      <c r="BD1" s="290"/>
      <c r="BE1" s="290"/>
      <c r="BF1" s="290"/>
      <c r="BG1" s="290"/>
      <c r="BH1" s="290"/>
      <c r="BI1" s="290"/>
      <c r="BJ1" s="290"/>
      <c r="BK1" s="290"/>
      <c r="BL1" s="290"/>
    </row>
    <row r="2" spans="1:64" s="291" customFormat="1" ht="12.75">
      <c r="A2" s="290"/>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0"/>
      <c r="AV2" s="290"/>
      <c r="AW2" s="290"/>
      <c r="AX2" s="290"/>
      <c r="AY2" s="290"/>
      <c r="AZ2" s="290"/>
      <c r="BA2" s="290"/>
      <c r="BB2" s="290"/>
      <c r="BC2" s="290"/>
      <c r="BD2" s="290"/>
      <c r="BE2" s="290"/>
      <c r="BF2" s="290"/>
      <c r="BG2" s="290"/>
      <c r="BH2" s="290"/>
      <c r="BI2" s="290"/>
      <c r="BJ2" s="290"/>
      <c r="BK2" s="290"/>
      <c r="BL2" s="290"/>
    </row>
    <row r="3" spans="1:64" s="291" customFormat="1" ht="18">
      <c r="A3" s="290"/>
      <c r="B3" s="327" t="s">
        <v>196</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293"/>
      <c r="AP3" s="293"/>
      <c r="AQ3" s="293"/>
      <c r="AR3" s="293"/>
      <c r="AS3" s="293"/>
      <c r="AT3" s="293"/>
      <c r="AU3" s="290"/>
      <c r="AV3" s="290"/>
      <c r="AW3" s="290"/>
      <c r="AX3" s="290"/>
      <c r="AY3" s="290"/>
      <c r="AZ3" s="290"/>
      <c r="BA3" s="290"/>
      <c r="BB3" s="290"/>
      <c r="BC3" s="290"/>
      <c r="BD3" s="290"/>
      <c r="BE3" s="290"/>
      <c r="BF3" s="290"/>
      <c r="BG3" s="290"/>
      <c r="BH3" s="290"/>
      <c r="BI3" s="290"/>
      <c r="BJ3" s="290"/>
      <c r="BK3" s="290"/>
      <c r="BL3" s="290"/>
    </row>
    <row r="4" spans="1:64" s="291" customFormat="1" ht="18">
      <c r="A4" s="290"/>
      <c r="B4" s="328" t="s">
        <v>240</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294"/>
      <c r="AP4" s="294"/>
      <c r="AQ4" s="294"/>
      <c r="AR4" s="294"/>
      <c r="AS4" s="294"/>
      <c r="AT4" s="294"/>
      <c r="AU4" s="290"/>
      <c r="AV4" s="290"/>
      <c r="AW4" s="290"/>
      <c r="AX4" s="290"/>
      <c r="AY4" s="290"/>
      <c r="AZ4" s="290"/>
      <c r="BA4" s="290"/>
      <c r="BB4" s="290"/>
      <c r="BC4" s="290"/>
      <c r="BD4" s="290"/>
      <c r="BE4" s="290"/>
      <c r="BF4" s="290"/>
      <c r="BG4" s="290"/>
      <c r="BH4" s="290"/>
      <c r="BI4" s="290"/>
      <c r="BJ4" s="290"/>
      <c r="BK4" s="290"/>
      <c r="BL4" s="290"/>
    </row>
    <row r="5" spans="1:64" s="291" customFormat="1" ht="18">
      <c r="A5" s="290"/>
      <c r="B5" s="327" t="s">
        <v>228</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293"/>
      <c r="AP5" s="293"/>
      <c r="AQ5" s="293"/>
      <c r="AR5" s="293"/>
      <c r="AS5" s="293"/>
      <c r="AT5" s="293"/>
      <c r="AU5" s="290"/>
      <c r="AV5" s="290"/>
      <c r="AW5" s="290"/>
      <c r="AX5" s="290"/>
      <c r="AY5" s="290"/>
      <c r="AZ5" s="290"/>
      <c r="BA5" s="290"/>
      <c r="BB5" s="290"/>
      <c r="BC5" s="290"/>
      <c r="BD5" s="290"/>
      <c r="BE5" s="290"/>
      <c r="BF5" s="290"/>
      <c r="BG5" s="290"/>
      <c r="BH5" s="290"/>
      <c r="BI5" s="290"/>
      <c r="BJ5" s="290"/>
      <c r="BK5" s="290"/>
      <c r="BL5" s="290"/>
    </row>
    <row r="6" spans="1:65" s="299" customFormat="1" ht="109.5" thickBot="1">
      <c r="A6" s="295"/>
      <c r="B6" s="296" t="s">
        <v>172</v>
      </c>
      <c r="C6" s="296" t="s">
        <v>229</v>
      </c>
      <c r="D6" s="297" t="str">
        <f>'[3]Revised HAP Emissions'!F7</f>
        <v>Hexane</v>
      </c>
      <c r="E6" s="297" t="str">
        <f>'[3]Revised HAP Emissions'!G7</f>
        <v>Benzene</v>
      </c>
      <c r="F6" s="297" t="str">
        <f>'[3]Revised HAP Emissions'!H7</f>
        <v>Toluene</v>
      </c>
      <c r="G6" s="297" t="str">
        <f>'[3]Revised HAP Emissions'!I7</f>
        <v>Xylene</v>
      </c>
      <c r="H6" s="297" t="str">
        <f>'[3]Revised HAP Emissions'!J7</f>
        <v>Iso-Octane</v>
      </c>
      <c r="I6" s="297" t="str">
        <f>'[3]Revised HAP Emissions'!K7</f>
        <v>Formaldehyde</v>
      </c>
      <c r="J6" s="297" t="str">
        <f>'[3]Revised HAP Emissions'!L7</f>
        <v>Naphthalene</v>
      </c>
      <c r="K6" s="297" t="str">
        <f>'[3]Revised HAP Emissions'!M7</f>
        <v>Acetaldehyde</v>
      </c>
      <c r="L6" s="297" t="str">
        <f>'[3]Revised HAP Emissions'!N7</f>
        <v>Acrolein</v>
      </c>
      <c r="M6" s="297" t="str">
        <f>'[3]Revised HAP Emissions'!O7</f>
        <v>1,3-Butadiene</v>
      </c>
      <c r="N6" s="297" t="str">
        <f>'[3]Revised HAP Emissions'!P7</f>
        <v>Carbon Tetrachloride</v>
      </c>
      <c r="O6" s="297" t="str">
        <f>'[3]Revised HAP Emissions'!Q7</f>
        <v>Chlorine</v>
      </c>
      <c r="P6" s="297" t="str">
        <f>'[3]Revised HAP Emissions'!R7</f>
        <v>Chlorobenzene</v>
      </c>
      <c r="Q6" s="297" t="str">
        <f>'[3]Revised HAP Emissions'!S7</f>
        <v>Chloroform</v>
      </c>
      <c r="R6" s="297" t="str">
        <f>'[3]Revised HAP Emissions'!T7</f>
        <v>Ethylbenzene</v>
      </c>
      <c r="S6" s="297" t="str">
        <f>'[3]Revised HAP Emissions'!U7</f>
        <v>Ethylene Dibromide</v>
      </c>
      <c r="T6" s="297" t="str">
        <f>'[3]Revised HAP Emissions'!V7</f>
        <v>Hydrogen Chloride</v>
      </c>
      <c r="U6" s="297" t="str">
        <f>'[3]Revised HAP Emissions'!W7</f>
        <v>Methanol</v>
      </c>
      <c r="V6" s="297" t="str">
        <f>'[3]Revised HAP Emissions'!X7</f>
        <v>Methyl Ethyl Ketone</v>
      </c>
      <c r="W6" s="297" t="str">
        <f>'[3]Revised HAP Emissions'!Y7</f>
        <v>Methyl tert butyl ether</v>
      </c>
      <c r="X6" s="297" t="str">
        <f>'[3]Revised HAP Emissions'!Z7</f>
        <v>Methylene Chloride</v>
      </c>
      <c r="Y6" s="297" t="str">
        <f>'[3]Revised HAP Emissions'!AA7</f>
        <v>Styrene</v>
      </c>
      <c r="Z6" s="297" t="str">
        <f>'[3]Revised HAP Emissions'!AB7</f>
        <v>Vinyl Chloride</v>
      </c>
      <c r="AA6" s="297" t="str">
        <f>'[3]Revised HAP Emissions'!AC7</f>
        <v>1,1,2,2-Tetrachloroethane</v>
      </c>
      <c r="AB6" s="297" t="str">
        <f>'[3]Revised HAP Emissions'!AD7</f>
        <v>1,1,2-Trichloroethane</v>
      </c>
      <c r="AC6" s="297" t="str">
        <f>'[3]Revised HAP Emissions'!AE7</f>
        <v>Arsenic</v>
      </c>
      <c r="AD6" s="297" t="str">
        <f>'[3]Revised HAP Emissions'!AF7</f>
        <v>Beryllium</v>
      </c>
      <c r="AE6" s="297" t="str">
        <f>'[3]Revised HAP Emissions'!AG7</f>
        <v>Cadmium</v>
      </c>
      <c r="AF6" s="297" t="str">
        <f>'[3]Revised HAP Emissions'!AH7</f>
        <v>Total Chromium</v>
      </c>
      <c r="AG6" s="297" t="str">
        <f>'[3]Revised HAP Emissions'!AI7</f>
        <v>Cobalt</v>
      </c>
      <c r="AH6" s="297" t="str">
        <f>'[3]Revised HAP Emissions'!AJ7</f>
        <v>Copper</v>
      </c>
      <c r="AI6" s="297" t="str">
        <f>'[3]Revised HAP Emissions'!AK7</f>
        <v>Lead</v>
      </c>
      <c r="AJ6" s="297" t="str">
        <f>'[3]Revised HAP Emissions'!AL7</f>
        <v>Manganese</v>
      </c>
      <c r="AK6" s="297" t="str">
        <f>'[3]Revised HAP Emissions'!AM7</f>
        <v>Mercury</v>
      </c>
      <c r="AL6" s="297" t="str">
        <f>'[3]Revised HAP Emissions'!AN7</f>
        <v>Nickel</v>
      </c>
      <c r="AM6" s="297" t="str">
        <f>'[3]Revised HAP Emissions'!AO7</f>
        <v>Selenium</v>
      </c>
      <c r="AN6" s="298" t="s">
        <v>230</v>
      </c>
      <c r="AP6" s="300"/>
      <c r="AQ6" s="301"/>
      <c r="AR6" s="301"/>
      <c r="AS6" s="301"/>
      <c r="AT6" s="301"/>
      <c r="AU6" s="301"/>
      <c r="AV6" s="301"/>
      <c r="AW6" s="301"/>
      <c r="AX6" s="301"/>
      <c r="AY6" s="301"/>
      <c r="AZ6" s="301"/>
      <c r="BA6" s="301"/>
      <c r="BB6" s="301"/>
      <c r="BC6" s="301"/>
      <c r="BD6" s="301"/>
      <c r="BE6" s="301"/>
      <c r="BF6" s="301"/>
      <c r="BG6" s="301"/>
      <c r="BH6" s="301"/>
      <c r="BI6" s="301"/>
      <c r="BJ6" s="301"/>
      <c r="BK6" s="301"/>
      <c r="BL6" s="301"/>
      <c r="BM6" s="301"/>
    </row>
    <row r="7" spans="1:78" s="305" customFormat="1" ht="15.75">
      <c r="A7" s="299"/>
      <c r="B7" s="302" t="s">
        <v>231</v>
      </c>
      <c r="C7" s="303" t="s">
        <v>232</v>
      </c>
      <c r="D7" s="315">
        <f>SUM('[2]Revised HAP Emissions'!E9:E69)</f>
        <v>24.246852935883457</v>
      </c>
      <c r="E7" s="315">
        <f>SUM('[2]Revised HAP Emissions'!F9:F69)</f>
        <v>0.5199265150069843</v>
      </c>
      <c r="F7" s="315">
        <f>SUM('[2]Revised HAP Emissions'!G9:G69)</f>
        <v>0.19180032100216865</v>
      </c>
      <c r="G7" s="315">
        <f>SUM('[2]Revised HAP Emissions'!H9:H69)</f>
        <v>0.0875692076613814</v>
      </c>
      <c r="H7" s="315">
        <f>SUM('[2]Revised HAP Emissions'!I9:I69)</f>
        <v>21.04436092627111</v>
      </c>
      <c r="I7" s="315">
        <f>SUM('[2]Revised HAP Emissions'!J9:J69)</f>
        <v>0.2484614915156761</v>
      </c>
      <c r="J7" s="315">
        <f>SUM('[2]Revised HAP Emissions'!K9:K69)</f>
        <v>0.002773171093450519</v>
      </c>
      <c r="K7" s="315">
        <f>SUM('[2]Revised HAP Emissions'!L9:L69)</f>
        <v>0.009796633537516265</v>
      </c>
      <c r="L7" s="315">
        <f>SUM('[2]Revised HAP Emissions'!M9:M69)</f>
        <v>0.002521573334662099</v>
      </c>
      <c r="M7" s="315">
        <f>SUM('[2]Revised HAP Emissions'!N9:N69)</f>
        <v>6.300156788321168E-05</v>
      </c>
      <c r="N7" s="316" t="s">
        <v>19</v>
      </c>
      <c r="O7" s="316" t="s">
        <v>19</v>
      </c>
      <c r="P7" s="315">
        <f>SUM('[2]Revised HAP Emissions'!O9:O69)</f>
        <v>5.795912408759124E-08</v>
      </c>
      <c r="Q7" s="316" t="s">
        <v>19</v>
      </c>
      <c r="R7" s="315">
        <f>SUM('[2]Revised HAP Emissions'!P9:P69)</f>
        <v>0.3043796787749838</v>
      </c>
      <c r="S7" s="316" t="s">
        <v>19</v>
      </c>
      <c r="T7" s="315">
        <f>SUM('[2]Revised HAP Emissions'!Q9:Q69)</f>
        <v>5.3988924087591236E-05</v>
      </c>
      <c r="U7" s="316" t="s">
        <v>19</v>
      </c>
      <c r="V7" s="316" t="s">
        <v>19</v>
      </c>
      <c r="W7" s="316" t="s">
        <v>19</v>
      </c>
      <c r="X7" s="316" t="s">
        <v>19</v>
      </c>
      <c r="Y7" s="316" t="s">
        <v>19</v>
      </c>
      <c r="Z7" s="316" t="s">
        <v>19</v>
      </c>
      <c r="AA7" s="316" t="s">
        <v>19</v>
      </c>
      <c r="AB7" s="316" t="s">
        <v>19</v>
      </c>
      <c r="AC7" s="315">
        <f>SUM('[2]Revised HAP Emissions'!R9:R69)</f>
        <v>7.278325231242861E-05</v>
      </c>
      <c r="AD7" s="315">
        <f>SUM('[2]Revised HAP Emissions'!S9:S69)</f>
        <v>4.3391747591836735E-06</v>
      </c>
      <c r="AE7" s="315">
        <f>SUM('[2]Revised HAP Emissions'!T9:T69)</f>
        <v>0.0003981923796891604</v>
      </c>
      <c r="AF7" s="315">
        <f>SUM('[2]Revised HAP Emissions'!U9:U69)</f>
        <v>0.0005064109326103581</v>
      </c>
      <c r="AG7" s="315">
        <f>SUM('[2]Revised HAP Emissions'!V9:V69)</f>
        <v>3.037422331428572E-05</v>
      </c>
      <c r="AH7" s="316" t="s">
        <v>19</v>
      </c>
      <c r="AI7" s="315">
        <f>SUM('[2]Revised HAP Emissions'!W9:W69)</f>
        <v>2.4053036496350364E-06</v>
      </c>
      <c r="AJ7" s="315">
        <f>SUM('[2]Revised HAP Emissions'!X9:X69)</f>
        <v>0.00013830556713084063</v>
      </c>
      <c r="AK7" s="315">
        <f>SUM('[2]Revised HAP Emissions'!Y9:Y69)</f>
        <v>9.459504435652218E-05</v>
      </c>
      <c r="AL7" s="315">
        <f>SUM('[2]Revised HAP Emissions'!Z9:Z69)</f>
        <v>0.000760485785776851</v>
      </c>
      <c r="AM7" s="315">
        <f>SUM('[2]Revised HAP Emissions'!AA9:AA69)</f>
        <v>9.31589988333085E-06</v>
      </c>
      <c r="AN7" s="304">
        <f>SUM(D7:AM7)</f>
        <v>46.660576710095974</v>
      </c>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row>
    <row r="8" spans="1:78" s="305" customFormat="1" ht="15.75">
      <c r="A8" s="299"/>
      <c r="B8" s="306" t="s">
        <v>233</v>
      </c>
      <c r="C8" s="296" t="s">
        <v>234</v>
      </c>
      <c r="D8" s="307" t="s">
        <v>19</v>
      </c>
      <c r="E8" s="307" t="s">
        <v>19</v>
      </c>
      <c r="F8" s="307" t="s">
        <v>19</v>
      </c>
      <c r="G8" s="307" t="s">
        <v>19</v>
      </c>
      <c r="H8" s="307" t="s">
        <v>19</v>
      </c>
      <c r="I8" s="307" t="s">
        <v>19</v>
      </c>
      <c r="J8" s="307" t="s">
        <v>19</v>
      </c>
      <c r="K8" s="307" t="s">
        <v>19</v>
      </c>
      <c r="L8" s="307" t="s">
        <v>19</v>
      </c>
      <c r="M8" s="307" t="s">
        <v>19</v>
      </c>
      <c r="N8" s="307" t="s">
        <v>19</v>
      </c>
      <c r="O8" s="307" t="s">
        <v>19</v>
      </c>
      <c r="P8" s="307" t="s">
        <v>19</v>
      </c>
      <c r="Q8" s="307" t="s">
        <v>19</v>
      </c>
      <c r="R8" s="307" t="s">
        <v>19</v>
      </c>
      <c r="S8" s="307" t="s">
        <v>19</v>
      </c>
      <c r="T8" s="307" t="s">
        <v>19</v>
      </c>
      <c r="U8" s="307" t="s">
        <v>19</v>
      </c>
      <c r="V8" s="307" t="s">
        <v>19</v>
      </c>
      <c r="W8" s="307" t="s">
        <v>19</v>
      </c>
      <c r="X8" s="307" t="s">
        <v>19</v>
      </c>
      <c r="Y8" s="307" t="s">
        <v>19</v>
      </c>
      <c r="Z8" s="307" t="s">
        <v>19</v>
      </c>
      <c r="AA8" s="307" t="s">
        <v>19</v>
      </c>
      <c r="AB8" s="307" t="s">
        <v>19</v>
      </c>
      <c r="AC8" s="307" t="s">
        <v>19</v>
      </c>
      <c r="AD8" s="307" t="s">
        <v>19</v>
      </c>
      <c r="AE8" s="307" t="s">
        <v>19</v>
      </c>
      <c r="AF8" s="307" t="s">
        <v>19</v>
      </c>
      <c r="AG8" s="307" t="s">
        <v>19</v>
      </c>
      <c r="AH8" s="307" t="s">
        <v>19</v>
      </c>
      <c r="AI8" s="307" t="s">
        <v>19</v>
      </c>
      <c r="AJ8" s="307" t="s">
        <v>19</v>
      </c>
      <c r="AK8" s="307" t="s">
        <v>19</v>
      </c>
      <c r="AL8" s="307" t="s">
        <v>19</v>
      </c>
      <c r="AM8" s="307" t="s">
        <v>19</v>
      </c>
      <c r="AN8" s="308">
        <f>SUM(D8:AM8)</f>
        <v>0</v>
      </c>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row>
    <row r="9" spans="1:78" s="305" customFormat="1" ht="15.75">
      <c r="A9" s="299"/>
      <c r="B9" s="306" t="s">
        <v>235</v>
      </c>
      <c r="C9" s="296" t="s">
        <v>236</v>
      </c>
      <c r="D9" s="314">
        <f>SUM('Revised HAP Emissions'!E9:E18)</f>
        <v>0.05874841649413759</v>
      </c>
      <c r="E9" s="314">
        <f>SUM('Revised HAP Emissions'!F9:F18)</f>
        <v>0.019161657172308028</v>
      </c>
      <c r="F9" s="314">
        <f>SUM('Revised HAP Emissions'!G9:G18)</f>
        <v>0.011844430693069313</v>
      </c>
      <c r="G9" s="314">
        <f>SUM('Revised HAP Emissions'!H9:H18)</f>
        <v>0</v>
      </c>
      <c r="H9" s="314">
        <f>SUM('Revised HAP Emissions'!I9:I18)</f>
        <v>0.02187275072347103</v>
      </c>
      <c r="I9" s="318" t="s">
        <v>19</v>
      </c>
      <c r="J9" s="318" t="s">
        <v>19</v>
      </c>
      <c r="K9" s="318" t="s">
        <v>19</v>
      </c>
      <c r="L9" s="318" t="s">
        <v>19</v>
      </c>
      <c r="M9" s="318" t="s">
        <v>19</v>
      </c>
      <c r="N9" s="318" t="s">
        <v>19</v>
      </c>
      <c r="O9" s="318" t="s">
        <v>19</v>
      </c>
      <c r="P9" s="318" t="s">
        <v>19</v>
      </c>
      <c r="Q9" s="318" t="s">
        <v>19</v>
      </c>
      <c r="R9" s="318" t="s">
        <v>19</v>
      </c>
      <c r="S9" s="318" t="s">
        <v>19</v>
      </c>
      <c r="T9" s="318" t="s">
        <v>19</v>
      </c>
      <c r="U9" s="318" t="s">
        <v>19</v>
      </c>
      <c r="V9" s="318" t="s">
        <v>19</v>
      </c>
      <c r="W9" s="318" t="s">
        <v>19</v>
      </c>
      <c r="X9" s="318" t="s">
        <v>19</v>
      </c>
      <c r="Y9" s="318" t="s">
        <v>19</v>
      </c>
      <c r="Z9" s="318" t="s">
        <v>19</v>
      </c>
      <c r="AA9" s="318" t="s">
        <v>19</v>
      </c>
      <c r="AB9" s="318" t="s">
        <v>19</v>
      </c>
      <c r="AC9" s="318" t="s">
        <v>19</v>
      </c>
      <c r="AD9" s="318" t="s">
        <v>19</v>
      </c>
      <c r="AE9" s="318" t="s">
        <v>19</v>
      </c>
      <c r="AF9" s="318" t="s">
        <v>19</v>
      </c>
      <c r="AG9" s="318" t="s">
        <v>19</v>
      </c>
      <c r="AH9" s="318" t="s">
        <v>19</v>
      </c>
      <c r="AI9" s="318" t="s">
        <v>19</v>
      </c>
      <c r="AJ9" s="318" t="s">
        <v>19</v>
      </c>
      <c r="AK9" s="318" t="s">
        <v>19</v>
      </c>
      <c r="AL9" s="318" t="s">
        <v>19</v>
      </c>
      <c r="AM9" s="318" t="s">
        <v>19</v>
      </c>
      <c r="AN9" s="308">
        <f>SUM(D9:AM9)</f>
        <v>0.11162725508298596</v>
      </c>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row>
    <row r="10" spans="2:46" s="299" customFormat="1" ht="16.5" thickBot="1">
      <c r="B10" s="306" t="s">
        <v>237</v>
      </c>
      <c r="C10" s="296" t="s">
        <v>238</v>
      </c>
      <c r="D10" s="314">
        <f>SUM('[3]Revised HAP Emissions'!F9:F44)</f>
        <v>8.418902272590545</v>
      </c>
      <c r="E10" s="314">
        <f>SUM('[3]Revised HAP Emissions'!G9:G44)</f>
        <v>0.4987554016691267</v>
      </c>
      <c r="F10" s="314">
        <f>SUM('[3]Revised HAP Emissions'!H9:H44)</f>
        <v>0.20694227949743563</v>
      </c>
      <c r="G10" s="314">
        <f>SUM('[3]Revised HAP Emissions'!I9:I44)</f>
        <v>0.12609378292007256</v>
      </c>
      <c r="H10" s="314">
        <f>SUM('[3]Revised HAP Emissions'!J9:J44)</f>
        <v>7.329814683975065</v>
      </c>
      <c r="I10" s="314">
        <f>SUM('[3]Revised HAP Emissions'!K9:K44)</f>
        <v>5.573105621052667</v>
      </c>
      <c r="J10" s="314">
        <f>SUM('[3]Revised HAP Emissions'!L9:L44)</f>
        <v>0.015569272176458164</v>
      </c>
      <c r="K10" s="314">
        <f>SUM('[3]Revised HAP Emissions'!M9:M44)</f>
        <v>0.8850515408118806</v>
      </c>
      <c r="L10" s="314">
        <f>SUM('[3]Revised HAP Emissions'!N9:N44)</f>
        <v>0.778074675931777</v>
      </c>
      <c r="M10" s="314">
        <f>SUM('[3]Revised HAP Emissions'!O9:O44)</f>
        <v>0.08523510964491714</v>
      </c>
      <c r="N10" s="314">
        <f>SUM('[3]Revised HAP Emissions'!P9:P44)</f>
        <v>0.006014839246097142</v>
      </c>
      <c r="O10" s="314">
        <f>SUM('[3]Revised HAP Emissions'!Q9:Q44)</f>
        <v>0.00012285</v>
      </c>
      <c r="P10" s="314">
        <f>SUM('[3]Revised HAP Emissions'!R9:R44)</f>
        <v>9.885123912408762E-05</v>
      </c>
      <c r="Q10" s="314">
        <f>SUM('[3]Revised HAP Emissions'!S9:S44)</f>
        <v>0.004664172597942858</v>
      </c>
      <c r="R10" s="314">
        <f>SUM('[3]Revised HAP Emissions'!T9:T44)</f>
        <v>0.033115904200068484</v>
      </c>
      <c r="S10" s="314">
        <f>SUM('[3]Revised HAP Emissions'!U9:U44)</f>
        <v>0.007278052658039999</v>
      </c>
      <c r="T10" s="314">
        <f>SUM('[3]Revised HAP Emissions'!V9:V44)</f>
        <v>0.09207992924408759</v>
      </c>
      <c r="U10" s="314">
        <f>SUM('[3]Revised HAP Emissions'!W9:W44)</f>
        <v>0.3033803338662857</v>
      </c>
      <c r="V10" s="314">
        <f>SUM('[3]Revised HAP Emissions'!X9:X44)</f>
        <v>1.7928E-05</v>
      </c>
      <c r="W10" s="314">
        <f>SUM('[3]Revised HAP Emissions'!Y9:Y44)</f>
        <v>0.000555633</v>
      </c>
      <c r="X10" s="314">
        <f>SUM('[3]Revised HAP Emissions'!Z9:Z44)</f>
        <v>0.014575539368571425</v>
      </c>
      <c r="Y10" s="314">
        <f>SUM('[3]Revised HAP Emissions'!AA9:AA44)</f>
        <v>0.0054706436713542845</v>
      </c>
      <c r="Z10" s="314">
        <f>SUM('[3]Revised HAP Emissions'!AB9:AB44)</f>
        <v>0.0024486906139200002</v>
      </c>
      <c r="AA10" s="314">
        <f>SUM('[3]Revised HAP Emissions'!AC9:AC44)</f>
        <v>0.0065687097421028556</v>
      </c>
      <c r="AB10" s="314">
        <f>SUM('[3]Revised HAP Emissions'!AD9:AD44)</f>
        <v>0.0052277601201942865</v>
      </c>
      <c r="AC10" s="314">
        <f>SUM('[3]Revised HAP Emissions'!AE9:AE44)</f>
        <v>0.0008125419836001295</v>
      </c>
      <c r="AD10" s="314">
        <f>SUM('[3]Revised HAP Emissions'!AF9:AF44)</f>
        <v>1.3039242364457142E-06</v>
      </c>
      <c r="AE10" s="314">
        <f>SUM('[3]Revised HAP Emissions'!AG9:AG44)</f>
        <v>0.000860910681771514</v>
      </c>
      <c r="AF10" s="314">
        <f>SUM('[3]Revised HAP Emissions'!AH9:AH44)</f>
        <v>0.00044867821162426275</v>
      </c>
      <c r="AG10" s="314">
        <f>SUM('[3]Revised HAP Emissions'!AI9:AI44)</f>
        <v>9.12746965512E-06</v>
      </c>
      <c r="AH10" s="314">
        <f>SUM('[3]Revised HAP Emissions'!AJ9:AJ44)</f>
        <v>8.910000000000001E-07</v>
      </c>
      <c r="AI10" s="314">
        <f>SUM('[3]Revised HAP Emissions'!AK9:AK44)</f>
        <v>0.004102326423649635</v>
      </c>
      <c r="AJ10" s="314">
        <f>SUM('[3]Revised HAP Emissions'!AL9:AL44)</f>
        <v>0.0015743761405774721</v>
      </c>
      <c r="AK10" s="314">
        <f>SUM('[3]Revised HAP Emissions'!AM9:AM44)</f>
        <v>0.0010167640830305333</v>
      </c>
      <c r="AL10" s="314">
        <f>SUM('[3]Revised HAP Emissions'!AN9:AN44)</f>
        <v>0.002156676904297708</v>
      </c>
      <c r="AM10" s="314">
        <f>SUM('[3]Revised HAP Emissions'!AO9:AO44)</f>
        <v>0.0010899714788378551</v>
      </c>
      <c r="AN10" s="308">
        <f>SUM(D10:AM10)</f>
        <v>24.411238046139015</v>
      </c>
      <c r="AO10" s="305"/>
      <c r="AP10" s="305"/>
      <c r="AQ10" s="305"/>
      <c r="AR10" s="305"/>
      <c r="AS10" s="305"/>
      <c r="AT10" s="305"/>
    </row>
    <row r="11" spans="2:46" s="299" customFormat="1" ht="16.5" thickBot="1">
      <c r="B11" s="329" t="s">
        <v>239</v>
      </c>
      <c r="C11" s="330"/>
      <c r="D11" s="309">
        <f>SUM(D7:D10)</f>
        <v>32.724503624968136</v>
      </c>
      <c r="E11" s="309">
        <f aca="true" t="shared" si="0" ref="E11:AN11">SUM(E7:E10)</f>
        <v>1.037843573848419</v>
      </c>
      <c r="F11" s="309">
        <f t="shared" si="0"/>
        <v>0.4105870311926736</v>
      </c>
      <c r="G11" s="309">
        <f t="shared" si="0"/>
        <v>0.21366299058145397</v>
      </c>
      <c r="H11" s="309">
        <f t="shared" si="0"/>
        <v>28.396048360969647</v>
      </c>
      <c r="I11" s="309">
        <f t="shared" si="0"/>
        <v>5.821567112568343</v>
      </c>
      <c r="J11" s="309">
        <f t="shared" si="0"/>
        <v>0.018342443269908682</v>
      </c>
      <c r="K11" s="309">
        <f t="shared" si="0"/>
        <v>0.8948481743493969</v>
      </c>
      <c r="L11" s="309">
        <f t="shared" si="0"/>
        <v>0.7805962492664391</v>
      </c>
      <c r="M11" s="309">
        <f t="shared" si="0"/>
        <v>0.08529811121280034</v>
      </c>
      <c r="N11" s="309">
        <f t="shared" si="0"/>
        <v>0.006014839246097142</v>
      </c>
      <c r="O11" s="309">
        <f t="shared" si="0"/>
        <v>0.00012285</v>
      </c>
      <c r="P11" s="309">
        <f t="shared" si="0"/>
        <v>9.890919824817521E-05</v>
      </c>
      <c r="Q11" s="309">
        <f t="shared" si="0"/>
        <v>0.004664172597942858</v>
      </c>
      <c r="R11" s="309">
        <f t="shared" si="0"/>
        <v>0.3374955829750523</v>
      </c>
      <c r="S11" s="309">
        <f t="shared" si="0"/>
        <v>0.007278052658039999</v>
      </c>
      <c r="T11" s="309">
        <f t="shared" si="0"/>
        <v>0.09213391816817518</v>
      </c>
      <c r="U11" s="309">
        <f t="shared" si="0"/>
        <v>0.3033803338662857</v>
      </c>
      <c r="V11" s="309">
        <f t="shared" si="0"/>
        <v>1.7928E-05</v>
      </c>
      <c r="W11" s="309">
        <f t="shared" si="0"/>
        <v>0.000555633</v>
      </c>
      <c r="X11" s="309">
        <f t="shared" si="0"/>
        <v>0.014575539368571425</v>
      </c>
      <c r="Y11" s="309">
        <f t="shared" si="0"/>
        <v>0.0054706436713542845</v>
      </c>
      <c r="Z11" s="309">
        <f t="shared" si="0"/>
        <v>0.0024486906139200002</v>
      </c>
      <c r="AA11" s="309">
        <f t="shared" si="0"/>
        <v>0.0065687097421028556</v>
      </c>
      <c r="AB11" s="309">
        <f t="shared" si="0"/>
        <v>0.0052277601201942865</v>
      </c>
      <c r="AC11" s="309">
        <f t="shared" si="0"/>
        <v>0.0008853252359125581</v>
      </c>
      <c r="AD11" s="309">
        <f t="shared" si="0"/>
        <v>5.643098995629388E-06</v>
      </c>
      <c r="AE11" s="309">
        <f t="shared" si="0"/>
        <v>0.0012591030614606744</v>
      </c>
      <c r="AF11" s="309">
        <f t="shared" si="0"/>
        <v>0.0009550891442346209</v>
      </c>
      <c r="AG11" s="309">
        <f t="shared" si="0"/>
        <v>3.950169296940572E-05</v>
      </c>
      <c r="AH11" s="309">
        <f t="shared" si="0"/>
        <v>8.910000000000001E-07</v>
      </c>
      <c r="AI11" s="309">
        <f t="shared" si="0"/>
        <v>0.004104731727299271</v>
      </c>
      <c r="AJ11" s="309">
        <f t="shared" si="0"/>
        <v>0.0017126817077083127</v>
      </c>
      <c r="AK11" s="309">
        <f t="shared" si="0"/>
        <v>0.0011113591273870555</v>
      </c>
      <c r="AL11" s="309">
        <f t="shared" si="0"/>
        <v>0.002917162690074559</v>
      </c>
      <c r="AM11" s="309">
        <f t="shared" si="0"/>
        <v>0.001099287378721186</v>
      </c>
      <c r="AN11" s="310">
        <f t="shared" si="0"/>
        <v>71.18344201131798</v>
      </c>
      <c r="AO11" s="305"/>
      <c r="AP11" s="305"/>
      <c r="AQ11" s="305"/>
      <c r="AR11" s="305"/>
      <c r="AS11" s="305"/>
      <c r="AT11" s="305"/>
    </row>
    <row r="12" spans="23:46" s="299" customFormat="1" ht="15">
      <c r="W12" s="305"/>
      <c r="X12" s="305"/>
      <c r="Y12" s="305"/>
      <c r="Z12" s="305"/>
      <c r="AA12" s="305"/>
      <c r="AB12" s="305"/>
      <c r="AC12" s="305"/>
      <c r="AD12" s="305"/>
      <c r="AE12" s="305"/>
      <c r="AF12" s="305"/>
      <c r="AG12" s="305"/>
      <c r="AH12" s="305"/>
      <c r="AI12" s="305"/>
      <c r="AJ12" s="305"/>
      <c r="AK12" s="305"/>
      <c r="AL12" s="305"/>
      <c r="AM12" s="305"/>
      <c r="AN12" s="311"/>
      <c r="AO12" s="305"/>
      <c r="AP12" s="305"/>
      <c r="AQ12" s="305"/>
      <c r="AR12" s="305"/>
      <c r="AS12" s="305"/>
      <c r="AT12" s="305"/>
    </row>
    <row r="13" spans="2:46" s="291" customFormat="1" ht="12.75">
      <c r="B13" s="291" t="s">
        <v>212</v>
      </c>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row>
    <row r="14" spans="2:46" s="291" customFormat="1" ht="12.75">
      <c r="B14" s="291" t="s">
        <v>224</v>
      </c>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row>
    <row r="15" spans="2:46" s="291" customFormat="1" ht="12.75">
      <c r="B15" s="291" t="s">
        <v>225</v>
      </c>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row>
    <row r="16" spans="2:78" s="290" customFormat="1" ht="12.75">
      <c r="B16" s="291"/>
      <c r="C16" s="291"/>
      <c r="D16" s="291"/>
      <c r="E16" s="291"/>
      <c r="F16" s="291"/>
      <c r="G16" s="291"/>
      <c r="H16" s="291"/>
      <c r="I16" s="291"/>
      <c r="J16" s="291"/>
      <c r="K16" s="291"/>
      <c r="L16" s="291"/>
      <c r="M16" s="291"/>
      <c r="N16" s="291"/>
      <c r="O16" s="291"/>
      <c r="P16" s="291"/>
      <c r="Q16" s="291"/>
      <c r="R16" s="291"/>
      <c r="S16" s="291"/>
      <c r="T16" s="291"/>
      <c r="U16" s="291"/>
      <c r="V16" s="291"/>
      <c r="W16" s="313"/>
      <c r="X16" s="313"/>
      <c r="Y16" s="313"/>
      <c r="Z16" s="313"/>
      <c r="AA16" s="313"/>
      <c r="AB16" s="313"/>
      <c r="AC16" s="313"/>
      <c r="AD16" s="313"/>
      <c r="AE16" s="313"/>
      <c r="AF16" s="313"/>
      <c r="AG16" s="313"/>
      <c r="AH16" s="313"/>
      <c r="AI16" s="313"/>
      <c r="AJ16" s="313"/>
      <c r="AK16" s="313"/>
      <c r="AL16" s="313"/>
      <c r="AM16" s="313"/>
      <c r="AN16" s="312"/>
      <c r="AO16" s="313"/>
      <c r="AP16" s="313"/>
      <c r="AQ16" s="313"/>
      <c r="AR16" s="313"/>
      <c r="AS16" s="313"/>
      <c r="AT16" s="313"/>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row>
  </sheetData>
  <sheetProtection/>
  <mergeCells count="5">
    <mergeCell ref="B1:AT1"/>
    <mergeCell ref="B3:AN3"/>
    <mergeCell ref="B4:AN4"/>
    <mergeCell ref="B5:AN5"/>
    <mergeCell ref="B11:C11"/>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Chevron Pipeline Facility Emissions</dc:title>
  <dc:subject>PTO 7995 Emission Tables</dc:subject>
  <dc:creator>SKM</dc:creator>
  <cp:keywords/>
  <dc:description/>
  <cp:lastModifiedBy>James J. Menno</cp:lastModifiedBy>
  <cp:lastPrinted>2008-10-06T15:50:25Z</cp:lastPrinted>
  <dcterms:created xsi:type="dcterms:W3CDTF">1998-03-23T18:18:13Z</dcterms:created>
  <dcterms:modified xsi:type="dcterms:W3CDTF">2018-03-05T20:57:45Z</dcterms:modified>
  <cp:category/>
  <cp:version/>
  <cp:contentType/>
  <cp:contentStatus/>
</cp:coreProperties>
</file>