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ecom.sharepoint.com/sites/VAFBAB2588/Shared Documents/General/ATEIR Conditional Approval/"/>
    </mc:Choice>
  </mc:AlternateContent>
  <xr:revisionPtr revIDLastSave="308" documentId="8_{F99E7984-A5F2-4832-9B30-737C4F3F3C04}" xr6:coauthVersionLast="47" xr6:coauthVersionMax="47" xr10:uidLastSave="{9CE0200A-F3BE-4430-8FE6-DEAEB216E849}"/>
  <bookViews>
    <workbookView xWindow="-120" yWindow="-120" windowWidth="29040" windowHeight="15840" xr2:uid="{4EAAFA86-8FAC-4494-A802-B27A793C3D12}"/>
  </bookViews>
  <sheets>
    <sheet name="PSB" sheetId="1" r:id="rId1"/>
    <sheet name="Sheet1" sheetId="4" r:id="rId2"/>
  </sheets>
  <definedNames>
    <definedName name="_xlnm._FilterDatabase" localSheetId="0" hidden="1">PSB!$A$3:$V$101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3" i="1" l="1"/>
  <c r="S90" i="1"/>
  <c r="S87" i="1"/>
  <c r="S74" i="1"/>
  <c r="S66" i="1"/>
  <c r="S31" i="1"/>
  <c r="S92" i="1"/>
  <c r="S89" i="1"/>
  <c r="S86" i="1"/>
  <c r="S72" i="1"/>
  <c r="S68" i="1"/>
  <c r="S30" i="1"/>
  <c r="S19" i="1"/>
  <c r="S16" i="1"/>
  <c r="S9" i="1"/>
  <c r="S6" i="1"/>
  <c r="N3" i="4"/>
  <c r="M12" i="4"/>
  <c r="P12" i="4"/>
  <c r="Q12" i="4" s="1"/>
  <c r="M18" i="4"/>
  <c r="P18" i="4"/>
  <c r="Q18" i="4" s="1"/>
  <c r="M19" i="4"/>
  <c r="P19" i="4"/>
  <c r="Q19" i="4" s="1"/>
  <c r="M20" i="4"/>
  <c r="P20" i="4"/>
  <c r="Q20" i="4" s="1"/>
  <c r="M21" i="4"/>
  <c r="P21" i="4"/>
  <c r="Q21" i="4" s="1"/>
  <c r="M22" i="4"/>
  <c r="P22" i="4"/>
  <c r="Q22" i="4" s="1"/>
  <c r="M23" i="4"/>
  <c r="P23" i="4"/>
  <c r="Q23" i="4" s="1"/>
  <c r="M24" i="4"/>
  <c r="P24" i="4"/>
  <c r="Q24" i="4" s="1"/>
  <c r="M25" i="4"/>
  <c r="P25" i="4"/>
  <c r="Q25" i="4" s="1"/>
  <c r="M26" i="4"/>
  <c r="P26" i="4"/>
  <c r="Q26" i="4" s="1"/>
  <c r="M27" i="4"/>
  <c r="P27" i="4"/>
  <c r="Q27" i="4" s="1"/>
  <c r="M28" i="4"/>
  <c r="P28" i="4"/>
  <c r="Q28" i="4" s="1"/>
  <c r="M29" i="4"/>
  <c r="P29" i="4"/>
  <c r="Q29" i="4" s="1"/>
  <c r="M30" i="4"/>
  <c r="P30" i="4"/>
  <c r="Q30" i="4" s="1"/>
  <c r="M31" i="4"/>
  <c r="P31" i="4"/>
  <c r="Q31" i="4" s="1"/>
  <c r="M32" i="4"/>
  <c r="P32" i="4"/>
  <c r="Q32" i="4" s="1"/>
  <c r="M33" i="4"/>
  <c r="P33" i="4"/>
  <c r="Q33" i="4" s="1"/>
  <c r="M34" i="4"/>
  <c r="P34" i="4"/>
  <c r="Q34" i="4" s="1"/>
  <c r="M35" i="4"/>
  <c r="P35" i="4"/>
  <c r="Q35" i="4" s="1"/>
  <c r="M36" i="4"/>
  <c r="P36" i="4"/>
  <c r="Q36" i="4" s="1"/>
  <c r="M37" i="4"/>
  <c r="P37" i="4"/>
  <c r="Q37" i="4" s="1"/>
  <c r="M38" i="4"/>
  <c r="P38" i="4"/>
  <c r="Q38" i="4" s="1"/>
  <c r="M39" i="4"/>
  <c r="P39" i="4"/>
  <c r="Q39" i="4" s="1"/>
  <c r="M40" i="4"/>
  <c r="P40" i="4"/>
  <c r="Q40" i="4" s="1"/>
  <c r="M41" i="4"/>
  <c r="P41" i="4"/>
  <c r="Q41" i="4" s="1"/>
  <c r="M42" i="4"/>
  <c r="P42" i="4"/>
  <c r="Q42" i="4" s="1"/>
  <c r="M43" i="4"/>
  <c r="P43" i="4"/>
  <c r="Q43" i="4" s="1"/>
  <c r="M44" i="4"/>
  <c r="P44" i="4"/>
  <c r="Q44" i="4" s="1"/>
  <c r="M45" i="4"/>
  <c r="P45" i="4"/>
  <c r="Q45" i="4" s="1"/>
  <c r="M46" i="4"/>
  <c r="P46" i="4"/>
  <c r="Q46" i="4" s="1"/>
  <c r="M47" i="4"/>
  <c r="P47" i="4"/>
  <c r="Q47" i="4" s="1"/>
  <c r="M48" i="4"/>
  <c r="P48" i="4"/>
  <c r="Q48" i="4" s="1"/>
  <c r="M49" i="4"/>
  <c r="P49" i="4"/>
  <c r="Q49" i="4" s="1"/>
  <c r="M50" i="4"/>
  <c r="P50" i="4"/>
  <c r="Q50" i="4" s="1"/>
  <c r="M51" i="4"/>
  <c r="P51" i="4"/>
  <c r="Q51" i="4" s="1"/>
  <c r="M52" i="4"/>
  <c r="P52" i="4"/>
  <c r="Q52" i="4" s="1"/>
  <c r="M53" i="4"/>
  <c r="P53" i="4"/>
  <c r="Q53" i="4" s="1"/>
  <c r="M54" i="4"/>
  <c r="P54" i="4"/>
  <c r="Q54" i="4" s="1"/>
  <c r="M55" i="4"/>
  <c r="P55" i="4"/>
  <c r="Q55" i="4" s="1"/>
  <c r="M5" i="4"/>
  <c r="P5" i="4"/>
  <c r="Q5" i="4" s="1"/>
  <c r="M6" i="4"/>
  <c r="P6" i="4"/>
  <c r="Q6" i="4" s="1"/>
  <c r="M7" i="4"/>
  <c r="P7" i="4"/>
  <c r="Q7" i="4" s="1"/>
  <c r="M8" i="4"/>
  <c r="P8" i="4"/>
  <c r="Q8" i="4" s="1"/>
  <c r="M9" i="4"/>
  <c r="P9" i="4"/>
  <c r="Q9" i="4" s="1"/>
  <c r="M10" i="4"/>
  <c r="P10" i="4"/>
  <c r="Q10" i="4" s="1"/>
  <c r="M11" i="4"/>
  <c r="P11" i="4"/>
  <c r="Q11" i="4" s="1"/>
  <c r="M13" i="4"/>
  <c r="P13" i="4"/>
  <c r="Q13" i="4" s="1"/>
  <c r="M14" i="4"/>
  <c r="P14" i="4"/>
  <c r="Q14" i="4" s="1"/>
  <c r="M15" i="4"/>
  <c r="P15" i="4"/>
  <c r="Q15" i="4" s="1"/>
  <c r="M16" i="4"/>
  <c r="P16" i="4"/>
  <c r="Q16" i="4" s="1"/>
  <c r="M17" i="4"/>
  <c r="P17" i="4"/>
  <c r="Q17" i="4" s="1"/>
  <c r="M3" i="4"/>
  <c r="P3" i="4"/>
  <c r="Q3" i="4" s="1"/>
  <c r="M4" i="4"/>
  <c r="P4" i="4"/>
  <c r="Q4" i="4" s="1"/>
  <c r="P2" i="4" l="1"/>
  <c r="Q2" i="4" s="1"/>
  <c r="M2" i="4"/>
  <c r="D38" i="4"/>
  <c r="D35" i="4"/>
  <c r="D39" i="4"/>
  <c r="D36" i="4"/>
  <c r="D37" i="4"/>
  <c r="D40" i="4"/>
  <c r="D41" i="4"/>
  <c r="D45" i="4"/>
  <c r="D42" i="4"/>
  <c r="D46" i="4"/>
  <c r="D43" i="4"/>
  <c r="D44" i="4"/>
  <c r="D47" i="4"/>
  <c r="D10" i="4"/>
  <c r="D11" i="4"/>
  <c r="D13" i="4"/>
  <c r="D7" i="4"/>
  <c r="D18" i="4"/>
  <c r="D16" i="4"/>
  <c r="D5" i="4"/>
  <c r="D12" i="4"/>
  <c r="D14" i="4"/>
  <c r="D15" i="4"/>
  <c r="D8" i="4"/>
  <c r="D9" i="4"/>
  <c r="D19" i="4"/>
  <c r="D6" i="4"/>
  <c r="D17" i="4"/>
  <c r="D29" i="4"/>
  <c r="D27" i="4"/>
  <c r="D28" i="4"/>
  <c r="D3" i="4"/>
  <c r="D2" i="4"/>
  <c r="D4" i="4"/>
  <c r="D23" i="4"/>
  <c r="D24" i="4"/>
  <c r="D21" i="4"/>
  <c r="D22" i="4"/>
  <c r="D26" i="4"/>
  <c r="D20" i="4"/>
  <c r="D25" i="4"/>
  <c r="D32" i="4"/>
  <c r="D33" i="4"/>
  <c r="D30" i="4"/>
  <c r="D31" i="4"/>
  <c r="D59" i="4"/>
  <c r="D49" i="4"/>
  <c r="D63" i="4"/>
  <c r="D61" i="4"/>
  <c r="D52" i="4"/>
  <c r="D58" i="4"/>
  <c r="D51" i="4"/>
  <c r="D62" i="4"/>
  <c r="D53" i="4"/>
  <c r="D50" i="4"/>
  <c r="D56" i="4"/>
  <c r="D64" i="4"/>
  <c r="D60" i="4"/>
  <c r="D65" i="4"/>
  <c r="D54" i="4"/>
  <c r="D57" i="4"/>
  <c r="D55" i="4"/>
  <c r="D48" i="4"/>
  <c r="D76" i="4"/>
  <c r="D73" i="4"/>
  <c r="D66" i="4"/>
  <c r="D77" i="4"/>
  <c r="D74" i="4"/>
  <c r="D67" i="4"/>
  <c r="D78" i="4"/>
  <c r="D75" i="4"/>
  <c r="D68" i="4"/>
  <c r="D71" i="4"/>
  <c r="D72" i="4"/>
  <c r="D69" i="4"/>
  <c r="D70" i="4"/>
  <c r="D34" i="4"/>
  <c r="P24" i="1"/>
  <c r="Q24" i="1" s="1"/>
  <c r="P25" i="1"/>
  <c r="Q25" i="1" s="1"/>
  <c r="I7" i="4" s="1"/>
  <c r="T6" i="4" s="1"/>
  <c r="P26" i="1"/>
  <c r="Q26" i="1" s="1"/>
  <c r="P27" i="1"/>
  <c r="Q27" i="1" s="1"/>
  <c r="I9" i="4" s="1"/>
  <c r="T8" i="4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I13" i="4" s="1"/>
  <c r="T11" i="4" s="1"/>
  <c r="P34" i="1"/>
  <c r="Q34" i="1" s="1"/>
  <c r="I14" i="4" s="1"/>
  <c r="T12" i="4" s="1"/>
  <c r="P36" i="1"/>
  <c r="Q36" i="1" s="1"/>
  <c r="P37" i="1"/>
  <c r="Q37" i="1" s="1"/>
  <c r="P38" i="1"/>
  <c r="Q38" i="1" s="1"/>
  <c r="P44" i="1"/>
  <c r="Q44" i="1" s="1"/>
  <c r="I4" i="4" s="1"/>
  <c r="T3" i="4" s="1"/>
  <c r="P45" i="1"/>
  <c r="Q45" i="1" s="1"/>
  <c r="P46" i="1"/>
  <c r="Q46" i="1" s="1"/>
  <c r="I2" i="4" s="1"/>
  <c r="T2" i="4" s="1"/>
  <c r="P47" i="1"/>
  <c r="Q47" i="1" s="1"/>
  <c r="I5" i="4" s="1"/>
  <c r="T4" i="4" s="1"/>
  <c r="P48" i="1"/>
  <c r="Q48" i="1" s="1"/>
  <c r="P49" i="1"/>
  <c r="Q49" i="1" s="1"/>
  <c r="P50" i="1"/>
  <c r="Q50" i="1" s="1"/>
  <c r="I17" i="4" s="1"/>
  <c r="T15" i="4" s="1"/>
  <c r="P51" i="1"/>
  <c r="Q51" i="1" s="1"/>
  <c r="P52" i="1"/>
  <c r="Q52" i="1" s="1"/>
  <c r="I24" i="4" s="1"/>
  <c r="T19" i="4" s="1"/>
  <c r="P53" i="1"/>
  <c r="Q53" i="1" s="1"/>
  <c r="I16" i="4" s="1"/>
  <c r="T14" i="4" s="1"/>
  <c r="P54" i="1"/>
  <c r="Q54" i="1" s="1"/>
  <c r="I20" i="4" s="1"/>
  <c r="T17" i="4" s="1"/>
  <c r="P55" i="1"/>
  <c r="Q55" i="1" s="1"/>
  <c r="P56" i="1"/>
  <c r="Q56" i="1" s="1"/>
  <c r="I22" i="4" s="1"/>
  <c r="T18" i="4" s="1"/>
  <c r="P57" i="1"/>
  <c r="Q57" i="1" s="1"/>
  <c r="P58" i="1"/>
  <c r="Q58" i="1" s="1"/>
  <c r="P59" i="1"/>
  <c r="Q59" i="1" s="1"/>
  <c r="I29" i="4" s="1"/>
  <c r="T23" i="4" s="1"/>
  <c r="P60" i="1"/>
  <c r="Q60" i="1" s="1"/>
  <c r="I30" i="4" s="1"/>
  <c r="T24" i="4" s="1"/>
  <c r="P61" i="1"/>
  <c r="Q61" i="1" s="1"/>
  <c r="I31" i="4" s="1"/>
  <c r="T25" i="4" s="1"/>
  <c r="P62" i="1"/>
  <c r="Q62" i="1" s="1"/>
  <c r="P63" i="1"/>
  <c r="Q63" i="1" s="1"/>
  <c r="P64" i="1"/>
  <c r="Q64" i="1" s="1"/>
  <c r="I34" i="4" s="1"/>
  <c r="T26" i="4" s="1"/>
  <c r="P65" i="1"/>
  <c r="Q65" i="1" s="1"/>
  <c r="P66" i="1"/>
  <c r="Q66" i="1" s="1"/>
  <c r="P70" i="1"/>
  <c r="Q70" i="1" s="1"/>
  <c r="I55" i="4" s="1"/>
  <c r="T41" i="4" s="1"/>
  <c r="P71" i="1"/>
  <c r="Q71" i="1" s="1"/>
  <c r="I62" i="4" s="1"/>
  <c r="T46" i="4" s="1"/>
  <c r="P78" i="1"/>
  <c r="Q78" i="1" s="1"/>
  <c r="P81" i="1"/>
  <c r="Q81" i="1" s="1"/>
  <c r="I54" i="4" s="1"/>
  <c r="T40" i="4" s="1"/>
  <c r="P82" i="1"/>
  <c r="Q82" i="1" s="1"/>
  <c r="P83" i="1"/>
  <c r="Q83" i="1" s="1"/>
  <c r="I56" i="4" s="1"/>
  <c r="T42" i="4" s="1"/>
  <c r="P84" i="1"/>
  <c r="Q84" i="1" s="1"/>
  <c r="O95" i="1"/>
  <c r="P95" i="1" s="1"/>
  <c r="Q95" i="1" s="1"/>
  <c r="O96" i="1"/>
  <c r="P96" i="1" s="1"/>
  <c r="Q96" i="1" s="1"/>
  <c r="I65" i="4" s="1"/>
  <c r="T49" i="4" s="1"/>
  <c r="O97" i="1"/>
  <c r="P97" i="1" s="1"/>
  <c r="Q97" i="1" s="1"/>
  <c r="I66" i="4" s="1"/>
  <c r="T50" i="4" s="1"/>
  <c r="O98" i="1"/>
  <c r="P98" i="1" s="1"/>
  <c r="Q98" i="1" s="1"/>
  <c r="I70" i="4" s="1"/>
  <c r="T53" i="4" s="1"/>
  <c r="O99" i="1"/>
  <c r="P99" i="1" s="1"/>
  <c r="Q99" i="1" s="1"/>
  <c r="O100" i="1"/>
  <c r="P100" i="1" s="1"/>
  <c r="Q100" i="1" s="1"/>
  <c r="O101" i="1"/>
  <c r="P101" i="1" s="1"/>
  <c r="Q101" i="1" s="1"/>
  <c r="I74" i="4" s="1"/>
  <c r="T54" i="4" s="1"/>
  <c r="O94" i="1"/>
  <c r="P94" i="1" s="1"/>
  <c r="Q94" i="1" s="1"/>
  <c r="O86" i="1"/>
  <c r="P86" i="1" s="1"/>
  <c r="Q86" i="1" s="1"/>
  <c r="O87" i="1"/>
  <c r="P87" i="1" s="1"/>
  <c r="Q87" i="1" s="1"/>
  <c r="O88" i="1"/>
  <c r="P88" i="1" s="1"/>
  <c r="Q88" i="1" s="1"/>
  <c r="O89" i="1"/>
  <c r="P89" i="1" s="1"/>
  <c r="Q89" i="1" s="1"/>
  <c r="O90" i="1"/>
  <c r="P90" i="1" s="1"/>
  <c r="Q90" i="1" s="1"/>
  <c r="O91" i="1"/>
  <c r="P91" i="1" s="1"/>
  <c r="Q91" i="1" s="1"/>
  <c r="O92" i="1"/>
  <c r="P92" i="1" s="1"/>
  <c r="Q92" i="1" s="1"/>
  <c r="O93" i="1"/>
  <c r="P93" i="1" s="1"/>
  <c r="Q93" i="1" s="1"/>
  <c r="O85" i="1"/>
  <c r="P85" i="1" s="1"/>
  <c r="Q85" i="1" s="1"/>
  <c r="O68" i="1"/>
  <c r="P68" i="1" s="1"/>
  <c r="Q68" i="1" s="1"/>
  <c r="O69" i="1"/>
  <c r="P69" i="1" s="1"/>
  <c r="Q69" i="1" s="1"/>
  <c r="O72" i="1"/>
  <c r="P72" i="1" s="1"/>
  <c r="Q72" i="1" s="1"/>
  <c r="O73" i="1"/>
  <c r="P73" i="1" s="1"/>
  <c r="Q73" i="1" s="1"/>
  <c r="O74" i="1"/>
  <c r="P74" i="1" s="1"/>
  <c r="Q74" i="1" s="1"/>
  <c r="O67" i="1"/>
  <c r="P67" i="1" s="1"/>
  <c r="Q67" i="1" s="1"/>
  <c r="O80" i="1"/>
  <c r="P80" i="1" s="1"/>
  <c r="Q80" i="1" s="1"/>
  <c r="O79" i="1"/>
  <c r="P79" i="1" s="1"/>
  <c r="Q79" i="1" s="1"/>
  <c r="O76" i="1"/>
  <c r="P76" i="1" s="1"/>
  <c r="Q76" i="1" s="1"/>
  <c r="O77" i="1"/>
  <c r="P77" i="1" s="1"/>
  <c r="Q77" i="1" s="1"/>
  <c r="O75" i="1"/>
  <c r="P75" i="1" s="1"/>
  <c r="Q75" i="1" s="1"/>
  <c r="I53" i="4" s="1"/>
  <c r="T39" i="4" s="1"/>
  <c r="O35" i="1"/>
  <c r="P35" i="1" s="1"/>
  <c r="Q35" i="1" s="1"/>
  <c r="O40" i="1"/>
  <c r="O39" i="1"/>
  <c r="I67" i="4" l="1"/>
  <c r="T51" i="4" s="1"/>
  <c r="I18" i="4"/>
  <c r="T16" i="4" s="1"/>
  <c r="I63" i="4"/>
  <c r="T47" i="4" s="1"/>
  <c r="I75" i="4"/>
  <c r="T55" i="4" s="1"/>
  <c r="I12" i="4"/>
  <c r="T10" i="4" s="1"/>
  <c r="I68" i="4"/>
  <c r="T52" i="4" s="1"/>
  <c r="I6" i="4"/>
  <c r="T5" i="4" s="1"/>
  <c r="I64" i="4"/>
  <c r="T48" i="4" s="1"/>
  <c r="I57" i="4"/>
  <c r="T43" i="4" s="1"/>
  <c r="I60" i="4"/>
  <c r="T45" i="4" s="1"/>
  <c r="I58" i="4"/>
  <c r="T44" i="4" s="1"/>
  <c r="I8" i="4"/>
  <c r="T7" i="4" s="1"/>
  <c r="N4" i="4"/>
  <c r="N5" i="4" s="1"/>
  <c r="N6" i="4" s="1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O19" i="1"/>
  <c r="O18" i="1"/>
  <c r="O17" i="1"/>
  <c r="O16" i="1"/>
  <c r="O15" i="1"/>
  <c r="O14" i="1"/>
  <c r="P14" i="1" s="1"/>
  <c r="Q14" i="1" s="1"/>
  <c r="I52" i="4" s="1"/>
  <c r="T38" i="4" s="1"/>
  <c r="P18" i="1"/>
  <c r="Q18" i="1" s="1"/>
  <c r="P15" i="1"/>
  <c r="Q15" i="1" s="1"/>
  <c r="I48" i="4" s="1"/>
  <c r="T36" i="4" s="1"/>
  <c r="P10" i="1"/>
  <c r="Q10" i="1" s="1"/>
  <c r="I36" i="4" s="1"/>
  <c r="T28" i="4" s="1"/>
  <c r="P11" i="1"/>
  <c r="Q11" i="1" s="1"/>
  <c r="P12" i="1"/>
  <c r="Q12" i="1" s="1"/>
  <c r="I41" i="4" s="1"/>
  <c r="T31" i="4" s="1"/>
  <c r="P13" i="1"/>
  <c r="Q13" i="1" s="1"/>
  <c r="P16" i="1"/>
  <c r="Q16" i="1" s="1"/>
  <c r="P17" i="1"/>
  <c r="Q17" i="1" s="1"/>
  <c r="I47" i="4" s="1"/>
  <c r="T35" i="4" s="1"/>
  <c r="P19" i="1"/>
  <c r="Q19" i="1" s="1"/>
  <c r="P20" i="1"/>
  <c r="Q20" i="1" s="1"/>
  <c r="I45" i="4" s="1"/>
  <c r="T34" i="4" s="1"/>
  <c r="P21" i="1"/>
  <c r="Q21" i="1" s="1"/>
  <c r="P22" i="1"/>
  <c r="Q22" i="1" s="1"/>
  <c r="I50" i="4" s="1"/>
  <c r="T37" i="4" s="1"/>
  <c r="P23" i="1"/>
  <c r="Q23" i="1" s="1"/>
  <c r="P9" i="1"/>
  <c r="Q9" i="1" s="1"/>
  <c r="P6" i="1"/>
  <c r="Q6" i="1" s="1"/>
  <c r="P7" i="1"/>
  <c r="Q7" i="1" s="1"/>
  <c r="I38" i="4" s="1"/>
  <c r="T29" i="4" s="1"/>
  <c r="P8" i="1"/>
  <c r="Q8" i="1" s="1"/>
  <c r="O7" i="1"/>
  <c r="O8" i="1"/>
  <c r="O9" i="1"/>
  <c r="O6" i="1"/>
  <c r="P5" i="1"/>
  <c r="Q5" i="1" s="1"/>
  <c r="I39" i="4" s="1"/>
  <c r="T30" i="4" s="1"/>
  <c r="O5" i="1"/>
  <c r="P4" i="1"/>
  <c r="Q4" i="1" s="1"/>
  <c r="I43" i="4" s="1"/>
  <c r="T32" i="4" s="1"/>
  <c r="I35" i="4" l="1"/>
  <c r="T27" i="4" s="1"/>
  <c r="I44" i="4"/>
  <c r="T33" i="4" s="1"/>
  <c r="O4" i="1"/>
  <c r="R40" i="1"/>
  <c r="P40" i="1" l="1"/>
  <c r="S40" i="1"/>
  <c r="R41" i="1"/>
  <c r="R43" i="1"/>
  <c r="R42" i="1"/>
  <c r="R39" i="1"/>
  <c r="S39" i="1" s="1"/>
  <c r="J67" i="4"/>
  <c r="S51" i="4" s="1"/>
  <c r="S83" i="1"/>
  <c r="J56" i="4" s="1"/>
  <c r="S42" i="4" s="1"/>
  <c r="S4" i="1"/>
  <c r="J43" i="4" l="1"/>
  <c r="S32" i="4" s="1"/>
  <c r="P42" i="1"/>
  <c r="S42" i="1"/>
  <c r="P43" i="1"/>
  <c r="S43" i="1"/>
  <c r="J28" i="4" s="1"/>
  <c r="S22" i="4" s="1"/>
  <c r="Q40" i="1"/>
  <c r="I15" i="4" s="1"/>
  <c r="T13" i="4" s="1"/>
  <c r="J57" i="4"/>
  <c r="S43" i="4" s="1"/>
  <c r="S41" i="1"/>
  <c r="J27" i="4" s="1"/>
  <c r="S21" i="4" s="1"/>
  <c r="P41" i="1"/>
  <c r="Q41" i="1" s="1"/>
  <c r="I27" i="4" s="1"/>
  <c r="T21" i="4" s="1"/>
  <c r="J10" i="4"/>
  <c r="S9" i="4" s="1"/>
  <c r="P39" i="1"/>
  <c r="S101" i="1"/>
  <c r="J74" i="4" s="1"/>
  <c r="S54" i="4" s="1"/>
  <c r="S100" i="1"/>
  <c r="S99" i="1"/>
  <c r="S98" i="1"/>
  <c r="J70" i="4" s="1"/>
  <c r="S53" i="4" s="1"/>
  <c r="S97" i="1"/>
  <c r="J66" i="4" s="1"/>
  <c r="S50" i="4" s="1"/>
  <c r="S96" i="1"/>
  <c r="J65" i="4" s="1"/>
  <c r="S49" i="4" s="1"/>
  <c r="S95" i="1"/>
  <c r="S94" i="1"/>
  <c r="S91" i="1"/>
  <c r="S88" i="1"/>
  <c r="S85" i="1"/>
  <c r="S84" i="1"/>
  <c r="S82" i="1"/>
  <c r="S81" i="1"/>
  <c r="J54" i="4" s="1"/>
  <c r="S40" i="4" s="1"/>
  <c r="S80" i="1"/>
  <c r="S79" i="1"/>
  <c r="S78" i="1"/>
  <c r="S77" i="1"/>
  <c r="S76" i="1"/>
  <c r="S75" i="1"/>
  <c r="J53" i="4" s="1"/>
  <c r="S39" i="4" s="1"/>
  <c r="S73" i="1"/>
  <c r="S71" i="1"/>
  <c r="J62" i="4" s="1"/>
  <c r="S46" i="4" s="1"/>
  <c r="S70" i="1"/>
  <c r="J55" i="4" s="1"/>
  <c r="S41" i="4" s="1"/>
  <c r="S69" i="1"/>
  <c r="S67" i="1"/>
  <c r="S65" i="1"/>
  <c r="S64" i="1"/>
  <c r="J34" i="4" s="1"/>
  <c r="S26" i="4" s="1"/>
  <c r="S63" i="1"/>
  <c r="S62" i="1"/>
  <c r="S61" i="1"/>
  <c r="J31" i="4" s="1"/>
  <c r="S25" i="4" s="1"/>
  <c r="S60" i="1"/>
  <c r="J30" i="4" s="1"/>
  <c r="S24" i="4" s="1"/>
  <c r="S59" i="1"/>
  <c r="J29" i="4" s="1"/>
  <c r="S23" i="4" s="1"/>
  <c r="S58" i="1"/>
  <c r="S57" i="1"/>
  <c r="S56" i="1"/>
  <c r="J22" i="4" s="1"/>
  <c r="S18" i="4" s="1"/>
  <c r="S55" i="1"/>
  <c r="S54" i="1"/>
  <c r="J20" i="4" s="1"/>
  <c r="S17" i="4" s="1"/>
  <c r="S53" i="1"/>
  <c r="J16" i="4" s="1"/>
  <c r="S14" i="4" s="1"/>
  <c r="S52" i="1"/>
  <c r="J24" i="4" s="1"/>
  <c r="S19" i="4" s="1"/>
  <c r="S51" i="1"/>
  <c r="S50" i="1"/>
  <c r="J17" i="4" s="1"/>
  <c r="S15" i="4" s="1"/>
  <c r="S49" i="1"/>
  <c r="S48" i="1"/>
  <c r="S47" i="1"/>
  <c r="J5" i="4" s="1"/>
  <c r="S4" i="4" s="1"/>
  <c r="S46" i="1"/>
  <c r="J2" i="4" s="1"/>
  <c r="S2" i="4" s="1"/>
  <c r="S45" i="1"/>
  <c r="S44" i="1"/>
  <c r="J4" i="4" s="1"/>
  <c r="S3" i="4" s="1"/>
  <c r="J26" i="4"/>
  <c r="S20" i="4" s="1"/>
  <c r="S38" i="1"/>
  <c r="S37" i="1"/>
  <c r="S36" i="1"/>
  <c r="S35" i="1"/>
  <c r="S34" i="1"/>
  <c r="J14" i="4" s="1"/>
  <c r="S12" i="4" s="1"/>
  <c r="S33" i="1"/>
  <c r="J13" i="4" s="1"/>
  <c r="S11" i="4" s="1"/>
  <c r="S32" i="1"/>
  <c r="J15" i="4"/>
  <c r="S13" i="4" s="1"/>
  <c r="S29" i="1"/>
  <c r="J12" i="4" s="1"/>
  <c r="S10" i="4" s="1"/>
  <c r="S28" i="1"/>
  <c r="S27" i="1"/>
  <c r="J9" i="4" s="1"/>
  <c r="S8" i="4" s="1"/>
  <c r="S26" i="1"/>
  <c r="S25" i="1"/>
  <c r="J7" i="4" s="1"/>
  <c r="S6" i="4" s="1"/>
  <c r="S24" i="1"/>
  <c r="S23" i="1"/>
  <c r="S22" i="1"/>
  <c r="J50" i="4" s="1"/>
  <c r="S37" i="4" s="1"/>
  <c r="S21" i="1"/>
  <c r="S20" i="1"/>
  <c r="J45" i="4" s="1"/>
  <c r="S34" i="4" s="1"/>
  <c r="S18" i="1"/>
  <c r="S17" i="1"/>
  <c r="J47" i="4" s="1"/>
  <c r="S35" i="4" s="1"/>
  <c r="J44" i="4"/>
  <c r="S33" i="4" s="1"/>
  <c r="S15" i="1"/>
  <c r="J48" i="4" s="1"/>
  <c r="S36" i="4" s="1"/>
  <c r="S14" i="1"/>
  <c r="J52" i="4" s="1"/>
  <c r="S38" i="4" s="1"/>
  <c r="S13" i="1"/>
  <c r="S12" i="1"/>
  <c r="J41" i="4" s="1"/>
  <c r="S31" i="4" s="1"/>
  <c r="S11" i="1"/>
  <c r="S10" i="1"/>
  <c r="J36" i="4" s="1"/>
  <c r="S28" i="4" s="1"/>
  <c r="S8" i="1"/>
  <c r="S7" i="1"/>
  <c r="J38" i="4" s="1"/>
  <c r="S29" i="4" s="1"/>
  <c r="J35" i="4"/>
  <c r="S27" i="4" s="1"/>
  <c r="S5" i="1"/>
  <c r="J39" i="4" s="1"/>
  <c r="S30" i="4" s="1"/>
  <c r="S102" i="1" l="1"/>
  <c r="J18" i="4"/>
  <c r="S16" i="4" s="1"/>
  <c r="Q39" i="1"/>
  <c r="I10" i="4" s="1"/>
  <c r="T9" i="4" s="1"/>
  <c r="Q42" i="1"/>
  <c r="I26" i="4" s="1"/>
  <c r="T20" i="4" s="1"/>
  <c r="Q43" i="1"/>
  <c r="I28" i="4" s="1"/>
  <c r="T22" i="4" s="1"/>
  <c r="J60" i="4"/>
  <c r="S45" i="4" s="1"/>
  <c r="J63" i="4"/>
  <c r="S47" i="4" s="1"/>
  <c r="J75" i="4"/>
  <c r="S55" i="4" s="1"/>
  <c r="J58" i="4"/>
  <c r="S44" i="4" s="1"/>
  <c r="J8" i="4"/>
  <c r="S7" i="4" s="1"/>
  <c r="J6" i="4"/>
  <c r="S5" i="4" s="1"/>
  <c r="J68" i="4"/>
  <c r="S52" i="4" s="1"/>
  <c r="J64" i="4"/>
  <c r="S48" i="4" s="1"/>
</calcChain>
</file>

<file path=xl/sharedStrings.xml><?xml version="1.0" encoding="utf-8"?>
<sst xmlns="http://schemas.openxmlformats.org/spreadsheetml/2006/main" count="979" uniqueCount="206">
  <si>
    <t>SURF</t>
  </si>
  <si>
    <t>2018</t>
  </si>
  <si>
    <t>AB2588 Device ID</t>
  </si>
  <si>
    <t>Source Category</t>
  </si>
  <si>
    <t>Shop</t>
  </si>
  <si>
    <t>Building Number</t>
  </si>
  <si>
    <t>Control Efficiency</t>
  </si>
  <si>
    <t>Product NSN</t>
  </si>
  <si>
    <t>SDS Prep Date</t>
  </si>
  <si>
    <t>Product Name</t>
  </si>
  <si>
    <t>Pollutant CAS #</t>
  </si>
  <si>
    <t>Pollutant Name</t>
  </si>
  <si>
    <t>Pollutant Max %</t>
  </si>
  <si>
    <t>Solid or Volatile?</t>
  </si>
  <si>
    <t>555HB</t>
  </si>
  <si>
    <t>9320</t>
  </si>
  <si>
    <t>90</t>
  </si>
  <si>
    <t>8010PHM00049649</t>
  </si>
  <si>
    <t>AMERLOCK 2/400 LIGHT TINT RESIN</t>
  </si>
  <si>
    <t>1,2,4-TRIMETHYLBENZENE</t>
  </si>
  <si>
    <t>V</t>
  </si>
  <si>
    <t>8010PHM00054547</t>
  </si>
  <si>
    <t>AMERSHIELD VOC WHITE RESIN</t>
  </si>
  <si>
    <t>TERT-BUTYL ACETATE</t>
  </si>
  <si>
    <t>8010PHM00056194</t>
  </si>
  <si>
    <t>RUST BULLET</t>
  </si>
  <si>
    <t>4,4'-METHYLENEDI(PHENYL ISOCYANATE)</t>
  </si>
  <si>
    <t>XYLENE</t>
  </si>
  <si>
    <t>ALUMINUM</t>
  </si>
  <si>
    <t>S</t>
  </si>
  <si>
    <t>8010PHM00334448</t>
  </si>
  <si>
    <t>WATERBORNE INDUSTRIAL ENAMEL - CLEAR SATIN</t>
  </si>
  <si>
    <t>ETHYLENE GLYCOL MONOBUTYL ETHER</t>
  </si>
  <si>
    <t>DIETHYLENE GLYCOL MONOBUTYL ETHER</t>
  </si>
  <si>
    <t>AMMONIA</t>
  </si>
  <si>
    <t>BUTYL BENZYL PHTHALATE</t>
  </si>
  <si>
    <t>70</t>
  </si>
  <si>
    <t>875UP</t>
  </si>
  <si>
    <t>875</t>
  </si>
  <si>
    <t>8010013800398</t>
  </si>
  <si>
    <t>MIL-PRF-26915D TY.II CL.B ZINC DUST PRIMER (DUST)</t>
  </si>
  <si>
    <t>ZINC OXIDE</t>
  </si>
  <si>
    <t>MIL-PRF-26915D TY.II CL.B ZINC DUST PRIMER (VEHICLE)</t>
  </si>
  <si>
    <t>PROPYLENE GLYCOL MONOMETHYL ETHER</t>
  </si>
  <si>
    <t>TRIETHYLAMINE</t>
  </si>
  <si>
    <t>8010PHM00066316</t>
  </si>
  <si>
    <t>PREMIUM COMMERCIAL COATING ACRYLIC URETHANE (PART A), WHITE</t>
  </si>
  <si>
    <t>ETHYLBENZENE</t>
  </si>
  <si>
    <t>8010PHM00066319</t>
  </si>
  <si>
    <t>PREMIUM COMMERCIAL COATING 2.8 VOC URETHANE HARDENER (PART B)</t>
  </si>
  <si>
    <t>HEXAMETHYLENE-1,6-DIISOCYANATE</t>
  </si>
  <si>
    <t>8010PHM00066324</t>
  </si>
  <si>
    <t>PREMIUM COMMERCIAL COATING URETHANE ACCELERATOR</t>
  </si>
  <si>
    <t>COBALT 2-ETHYLHEXANOATE</t>
  </si>
  <si>
    <t>8010PHM00093470</t>
  </si>
  <si>
    <t>26173 GRAY URETHANE, MIL-PRF-85285E, TYPE II, CLASS II, PART A</t>
  </si>
  <si>
    <t>8010PHM00339992</t>
  </si>
  <si>
    <t>2K EPOXY PRIME-N-SEAL RED PT A</t>
  </si>
  <si>
    <t>983RE</t>
  </si>
  <si>
    <t>2007</t>
  </si>
  <si>
    <t>8010012933797</t>
  </si>
  <si>
    <t>METHYL ISOBUTYL KETONE</t>
  </si>
  <si>
    <t>1-METHOXYPROPYL-2-ACETATE</t>
  </si>
  <si>
    <t>TOLUENE</t>
  </si>
  <si>
    <t>BARIUM SULFATE</t>
  </si>
  <si>
    <t>245PS</t>
  </si>
  <si>
    <t>8190</t>
  </si>
  <si>
    <t>8010006169181</t>
  </si>
  <si>
    <t>SO-SURE AEROSOL PRIMER, LIGHT GRAY</t>
  </si>
  <si>
    <t>8010013316107</t>
  </si>
  <si>
    <t>0674-190, ECO-SURE INDUSTRIAL ENAMEL AEROSOL PAINT</t>
  </si>
  <si>
    <t>8010013316122</t>
  </si>
  <si>
    <t>0674-100, ECO-SURE INDUSTRIAL ENAMEL AEROSOL PAINT</t>
  </si>
  <si>
    <t>527GP</t>
  </si>
  <si>
    <t>10711</t>
  </si>
  <si>
    <t>7930PHM00041390</t>
  </si>
  <si>
    <t>KLEANZ-EASY II LOW VOC SURFACE CLEANER</t>
  </si>
  <si>
    <t>DIPROPYLENE GLYCOL MONOMETHYL ETHER</t>
  </si>
  <si>
    <t>8010PHM00041452</t>
  </si>
  <si>
    <t>DUPLI-COLOR ACRYLIC LACQUER AEROSOL PAINT GLOSS WHITE</t>
  </si>
  <si>
    <t>METHYL ETHYL KETONE</t>
  </si>
  <si>
    <t>8010PHM00307131</t>
  </si>
  <si>
    <t>LOW VOC HARDENER</t>
  </si>
  <si>
    <t>8010PHM00309374</t>
  </si>
  <si>
    <t>DTM EPOXY ACTIVATOR (MID-TEMP)</t>
  </si>
  <si>
    <t>2-HYDROXYPROPANE</t>
  </si>
  <si>
    <t>1-BUTANOL</t>
  </si>
  <si>
    <t>8010PHM00320967</t>
  </si>
  <si>
    <t>2K URETHANE MULTI-PANEL CLEAR 468-00</t>
  </si>
  <si>
    <t>183MM</t>
  </si>
  <si>
    <t>9327</t>
  </si>
  <si>
    <t>8010PHM00331673</t>
  </si>
  <si>
    <t>MIL-PRF-85582E, TYPE I, CLASS N, FS-#36375 GRAY EPOXY PRIMER</t>
  </si>
  <si>
    <t>TRIZINC PHOSPHATE</t>
  </si>
  <si>
    <t>479KM</t>
  </si>
  <si>
    <t>7437</t>
  </si>
  <si>
    <t>0</t>
  </si>
  <si>
    <t>8010PHM00043083</t>
  </si>
  <si>
    <t>AMERSHIELD VOC LIGHT TINT</t>
  </si>
  <si>
    <t>AMERSHIELD CURE</t>
  </si>
  <si>
    <t>8010PHM00057297</t>
  </si>
  <si>
    <t>AMERCOAT 65E THINNER</t>
  </si>
  <si>
    <t>8010PHM00064879</t>
  </si>
  <si>
    <t>8010PHM00067542</t>
  </si>
  <si>
    <t>AMERLOCK 2 CURE</t>
  </si>
  <si>
    <t>8010PHM00071126</t>
  </si>
  <si>
    <t>AMERSHIELD VOC NEUTRAL TI</t>
  </si>
  <si>
    <t>8010PHM00071149</t>
  </si>
  <si>
    <t>8010PHM00073687</t>
  </si>
  <si>
    <t>AMERICAN SAFETY TECHNOLOGIES AS-150 HAPS FREE SAFETY YELLOW</t>
  </si>
  <si>
    <t>8010PHM00082697</t>
  </si>
  <si>
    <t>SIE S40 1-GL EPOXY GLOSS CLASSIC GRAY</t>
  </si>
  <si>
    <t>ALUMINA</t>
  </si>
  <si>
    <t>9360</t>
  </si>
  <si>
    <t>99.99</t>
  </si>
  <si>
    <t>8010012853038</t>
  </si>
  <si>
    <t>13538 YELLOW URETHANE, MIL-PRF-85285E,TYPE I,CLASS H,PART A</t>
  </si>
  <si>
    <t>HIGH SOLIDS URA-ZEN CATALYST, PART B</t>
  </si>
  <si>
    <t>8010012930789</t>
  </si>
  <si>
    <t>17925 WHITE URETHANE, MIL-PRF-85285D(3),TYPE II,CLASS H,PART A</t>
  </si>
  <si>
    <t>8010013296296</t>
  </si>
  <si>
    <t>15044 BLUE URETHANE, MIL-PRF-85285E,TYPE II,CLASS H,PART A</t>
  </si>
  <si>
    <t>8010015553388</t>
  </si>
  <si>
    <t>44GN098 BASE COMPONENT</t>
  </si>
  <si>
    <t>SEC-BUTYL ALCOHOL</t>
  </si>
  <si>
    <t>MIL-PRF-85582E, TYPE I, CLASS N, CATALYST</t>
  </si>
  <si>
    <t>ETHYLENE GLYCOL MONOPROPYL ETHER</t>
  </si>
  <si>
    <t xml:space="preserve">Calculation ID </t>
  </si>
  <si>
    <t>Source Type</t>
  </si>
  <si>
    <t>Paint Spray Booth</t>
  </si>
  <si>
    <t>Emissions</t>
  </si>
  <si>
    <t>lb/yr and lb/hr</t>
  </si>
  <si>
    <t>Annual Total Usage (lbs)</t>
  </si>
  <si>
    <t>APIMS Unique ID</t>
  </si>
  <si>
    <t>Usage (gal/yr)</t>
  </si>
  <si>
    <t xml:space="preserve"> Silica, crystalline (respirable), in the form of quartz</t>
  </si>
  <si>
    <t>HOMOPOLYMER OF HEXAMETHYLENE DIISOCYANATE</t>
  </si>
  <si>
    <t>Methylenediphenyl diisocyanate</t>
  </si>
  <si>
    <t xml:space="preserve">HEXAMETHYLENE DIISOCYANATE MONOMER </t>
  </si>
  <si>
    <t>Max month Usage (lbs)</t>
  </si>
  <si>
    <t>Max month Usage (gal)</t>
  </si>
  <si>
    <t>Hourly Emission (lbs/hr)</t>
  </si>
  <si>
    <t>Annual Emission (lbs/yr)</t>
  </si>
  <si>
    <t>ID,CAS</t>
  </si>
  <si>
    <t>105647,108101</t>
  </si>
  <si>
    <t>105647,108883</t>
  </si>
  <si>
    <t>105647,1330207</t>
  </si>
  <si>
    <t>107926,100414</t>
  </si>
  <si>
    <t>107926,107982</t>
  </si>
  <si>
    <t>107926,111762</t>
  </si>
  <si>
    <t>107926,121448</t>
  </si>
  <si>
    <t>107926,1221</t>
  </si>
  <si>
    <t>107926,1330207</t>
  </si>
  <si>
    <t>107926,136527</t>
  </si>
  <si>
    <t>107926,540885</t>
  </si>
  <si>
    <t>107926,822060</t>
  </si>
  <si>
    <t>107930,100414</t>
  </si>
  <si>
    <t>107930,108101</t>
  </si>
  <si>
    <t>107930,108883</t>
  </si>
  <si>
    <t>107930,1330207</t>
  </si>
  <si>
    <t>107930,67630</t>
  </si>
  <si>
    <t>107930,78933</t>
  </si>
  <si>
    <t>108716,1221</t>
  </si>
  <si>
    <t>108716,1330207</t>
  </si>
  <si>
    <t>108716,822060</t>
  </si>
  <si>
    <t>113676,107982</t>
  </si>
  <si>
    <t>113676,111762</t>
  </si>
  <si>
    <t>113676,67630</t>
  </si>
  <si>
    <t>113676,78933</t>
  </si>
  <si>
    <t>384028,101688</t>
  </si>
  <si>
    <t>384028,111762</t>
  </si>
  <si>
    <t>384028,1330207</t>
  </si>
  <si>
    <t>384028,540885</t>
  </si>
  <si>
    <t>384028,7664417</t>
  </si>
  <si>
    <t>384028,95636</t>
  </si>
  <si>
    <t>384029,101688</t>
  </si>
  <si>
    <t>384029,111762</t>
  </si>
  <si>
    <t>384029,1330207</t>
  </si>
  <si>
    <t>384029,540885</t>
  </si>
  <si>
    <t>384029,7664417</t>
  </si>
  <si>
    <t>384029,95636</t>
  </si>
  <si>
    <t>384072,100414</t>
  </si>
  <si>
    <t>384072,107982</t>
  </si>
  <si>
    <t>384072,108883</t>
  </si>
  <si>
    <t>384072,1175</t>
  </si>
  <si>
    <t>384072,1221</t>
  </si>
  <si>
    <t>384072,1330207</t>
  </si>
  <si>
    <t>384072,540885</t>
  </si>
  <si>
    <t>384072,78933</t>
  </si>
  <si>
    <t>384072,822060</t>
  </si>
  <si>
    <t>384072,95636</t>
  </si>
  <si>
    <t>388390,107982</t>
  </si>
  <si>
    <t>388390,111762</t>
  </si>
  <si>
    <t>388390,1221</t>
  </si>
  <si>
    <t>388390,1330207</t>
  </si>
  <si>
    <t>388390,67630</t>
  </si>
  <si>
    <t>388390,78933</t>
  </si>
  <si>
    <t>388390,822060</t>
  </si>
  <si>
    <t>ID</t>
  </si>
  <si>
    <t>CAS</t>
  </si>
  <si>
    <t>Name</t>
  </si>
  <si>
    <t>Placeh</t>
  </si>
  <si>
    <t>Placeh2</t>
  </si>
  <si>
    <t>Placeh3</t>
  </si>
  <si>
    <t>Update Comment</t>
  </si>
  <si>
    <t>Diisocyanate emission modified per Distrct approval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</si>
</sst>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"/>
    <numFmt numFmtId="165" formatCode="yyyy/mm/dd"/>
    <numFmt numFmtId="166" formatCode="#,##0.0#####;\-#,##0.0#####;0.0"/>
    <numFmt numFmtId="167" formatCode="#,##0.0######;\-#,##0.0######;0.00"/>
    <numFmt numFmtId="168" formatCode="#,##0.0#;\-#,##0.0#;0"/>
    <numFmt numFmtId="169" formatCode="#,##0.0##;\-#,##0.0##;0.0"/>
  </numFmts>
  <fonts count="11" x14ac:knownFonts="1"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9"/>
      <color rgb="FF333333"/>
      <name val="Arial"/>
      <family val="2"/>
    </font>
    <font>
      <sz val="9"/>
      <color rgb="FFFFFFFF"/>
      <name val="Arial"/>
      <family val="2"/>
    </font>
    <font>
      <b/>
      <sz val="9"/>
      <color rgb="FFFFFFFF"/>
      <name val="Arial"/>
      <family val="2"/>
    </font>
    <font>
      <b/>
      <sz val="9"/>
      <name val="Arial"/>
      <family val="2"/>
    </font>
    <font>
      <b/>
      <sz val="9"/>
      <color rgb="FF333333"/>
      <name val="Arial"/>
      <family val="2"/>
    </font>
    <font>
      <b/>
      <sz val="16"/>
      <color theme="1"/>
      <name val="Calibri"/>
      <family val="2"/>
      <scheme val="minor"/>
    </font>
    <font>
      <sz val="9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C6D9F1"/>
        <bgColor indexed="64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00B0F0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DDDDDD"/>
      </left>
      <right/>
      <top/>
      <bottom style="medium">
        <color indexed="64"/>
      </bottom>
      <diagonal/>
    </border>
    <border>
      <left style="thin">
        <color rgb="FFDDDDDD"/>
      </left>
      <right style="thin">
        <color rgb="FFDDDDDD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left"/>
    </xf>
    <xf numFmtId="166" fontId="2" fillId="2" borderId="1" xfId="0" applyNumberFormat="1" applyFont="1" applyFill="1" applyBorder="1" applyAlignment="1">
      <alignment horizontal="right"/>
    </xf>
    <xf numFmtId="39" fontId="2" fillId="2" borderId="0" xfId="0" applyNumberFormat="1" applyFont="1" applyFill="1" applyAlignment="1">
      <alignment horizontal="left"/>
    </xf>
    <xf numFmtId="0" fontId="1" fillId="4" borderId="4" xfId="0" applyFont="1" applyFill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0" fontId="2" fillId="0" borderId="0" xfId="0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left"/>
    </xf>
    <xf numFmtId="49" fontId="5" fillId="5" borderId="2" xfId="0" applyNumberFormat="1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left"/>
    </xf>
    <xf numFmtId="49" fontId="2" fillId="6" borderId="1" xfId="0" applyNumberFormat="1" applyFont="1" applyFill="1" applyBorder="1" applyAlignment="1">
      <alignment horizontal="left"/>
    </xf>
    <xf numFmtId="164" fontId="2" fillId="6" borderId="1" xfId="0" applyNumberFormat="1" applyFont="1" applyFill="1" applyBorder="1" applyAlignment="1">
      <alignment horizontal="right"/>
    </xf>
    <xf numFmtId="165" fontId="2" fillId="6" borderId="1" xfId="0" applyNumberFormat="1" applyFont="1" applyFill="1" applyBorder="1" applyAlignment="1">
      <alignment horizontal="left"/>
    </xf>
    <xf numFmtId="0" fontId="2" fillId="6" borderId="1" xfId="0" applyFont="1" applyFill="1" applyBorder="1" applyAlignment="1">
      <alignment horizontal="right"/>
    </xf>
    <xf numFmtId="49" fontId="8" fillId="6" borderId="1" xfId="0" applyNumberFormat="1" applyFont="1" applyFill="1" applyBorder="1" applyAlignment="1">
      <alignment horizontal="left"/>
    </xf>
    <xf numFmtId="166" fontId="2" fillId="6" borderId="1" xfId="0" applyNumberFormat="1" applyFont="1" applyFill="1" applyBorder="1" applyAlignment="1">
      <alignment horizontal="right"/>
    </xf>
    <xf numFmtId="0" fontId="2" fillId="7" borderId="1" xfId="0" applyFont="1" applyFill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164" fontId="2" fillId="7" borderId="1" xfId="0" applyNumberFormat="1" applyFont="1" applyFill="1" applyBorder="1" applyAlignment="1">
      <alignment horizontal="right"/>
    </xf>
    <xf numFmtId="165" fontId="2" fillId="7" borderId="1" xfId="0" applyNumberFormat="1" applyFont="1" applyFill="1" applyBorder="1" applyAlignment="1">
      <alignment horizontal="left"/>
    </xf>
    <xf numFmtId="0" fontId="2" fillId="7" borderId="1" xfId="0" applyFont="1" applyFill="1" applyBorder="1" applyAlignment="1">
      <alignment horizontal="right"/>
    </xf>
    <xf numFmtId="49" fontId="8" fillId="7" borderId="1" xfId="0" applyNumberFormat="1" applyFont="1" applyFill="1" applyBorder="1" applyAlignment="1">
      <alignment horizontal="left"/>
    </xf>
    <xf numFmtId="166" fontId="2" fillId="7" borderId="1" xfId="0" applyNumberFormat="1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left"/>
    </xf>
    <xf numFmtId="0" fontId="2" fillId="6" borderId="1" xfId="0" applyNumberFormat="1" applyFont="1" applyFill="1" applyBorder="1" applyAlignment="1">
      <alignment horizontal="left"/>
    </xf>
    <xf numFmtId="0" fontId="2" fillId="7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left"/>
    </xf>
    <xf numFmtId="166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6" fontId="2" fillId="2" borderId="2" xfId="0" applyNumberFormat="1" applyFont="1" applyFill="1" applyBorder="1" applyAlignment="1">
      <alignment horizontal="right"/>
    </xf>
    <xf numFmtId="166" fontId="2" fillId="6" borderId="2" xfId="0" applyNumberFormat="1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right"/>
    </xf>
    <xf numFmtId="166" fontId="2" fillId="7" borderId="2" xfId="0" applyNumberFormat="1" applyFont="1" applyFill="1" applyBorder="1" applyAlignment="1">
      <alignment horizontal="right"/>
    </xf>
    <xf numFmtId="168" fontId="2" fillId="2" borderId="2" xfId="0" applyNumberFormat="1" applyFont="1" applyFill="1" applyBorder="1" applyAlignment="1">
      <alignment horizontal="right"/>
    </xf>
    <xf numFmtId="169" fontId="2" fillId="2" borderId="2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6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7" borderId="3" xfId="0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167" fontId="6" fillId="6" borderId="2" xfId="0" applyNumberFormat="1" applyFont="1" applyFill="1" applyBorder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7" fontId="6" fillId="7" borderId="2" xfId="0" applyNumberFormat="1" applyFont="1" applyFill="1" applyBorder="1" applyAlignment="1">
      <alignment horizontal="right"/>
    </xf>
    <xf numFmtId="168" fontId="2" fillId="6" borderId="2" xfId="0" applyNumberFormat="1" applyFont="1" applyFill="1" applyBorder="1" applyAlignment="1">
      <alignment horizontal="right"/>
    </xf>
    <xf numFmtId="49" fontId="5" fillId="5" borderId="0" xfId="0" applyNumberFormat="1" applyFont="1" applyFill="1" applyAlignment="1">
      <alignment horizontal="left" wrapText="1"/>
    </xf>
    <xf numFmtId="49" fontId="5" fillId="5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9" fillId="8" borderId="6" xfId="0" applyFont="1" applyFill="1" applyBorder="1"/>
    <xf numFmtId="0" fontId="10" fillId="0" borderId="0" xfId="0" applyFont="1"/>
    <xf numFmtId="49" fontId="5" fillId="9" borderId="7" xfId="0" applyNumberFormat="1" applyFont="1" applyFill="1" applyBorder="1" applyAlignment="1">
      <alignment horizontal="center" vertical="center" wrapText="1"/>
    </xf>
    <xf numFmtId="11" fontId="0" fillId="0" borderId="0" xfId="0" applyNumberFormat="1"/>
    <xf numFmtId="0" fontId="1" fillId="4" borderId="5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94EB7-8374-41BE-BDD0-4D53F9DFFD34}">
  <dimension ref="A1:V102"/>
  <sheetViews>
    <sheetView tabSelected="1" zoomScale="85" zoomScaleNormal="85" workbookViewId="0">
      <pane ySplit="3" topLeftCell="A4" activePane="bottomLeft" state="frozen"/>
      <selection activeCell="I1" sqref="I1"/>
      <selection pane="bottomLeft" activeCell="A3" sqref="A3:XFD3"/>
    </sheetView>
  </sheetViews>
  <sheetFormatPr defaultRowHeight="12.75" x14ac:dyDescent="0.2"/>
  <cols>
    <col min="1" max="4" width="10.7109375" customWidth="1"/>
    <col min="5" max="5" width="11.7109375" customWidth="1"/>
    <col min="6" max="6" width="10.7109375" customWidth="1"/>
    <col min="7" max="7" width="18.42578125" customWidth="1"/>
    <col min="8" max="8" width="10.7109375" customWidth="1"/>
    <col min="9" max="9" width="61.85546875" bestFit="1" customWidth="1"/>
    <col min="10" max="10" width="10.140625" bestFit="1" customWidth="1"/>
    <col min="11" max="11" width="49.42578125" bestFit="1" customWidth="1"/>
    <col min="12" max="16" width="10.7109375" customWidth="1"/>
    <col min="17" max="17" width="12.42578125" customWidth="1"/>
    <col min="18" max="18" width="14.42578125" customWidth="1"/>
    <col min="19" max="19" width="18.42578125" customWidth="1"/>
    <col min="20" max="20" width="4.7109375" customWidth="1"/>
    <col min="21" max="21" width="28.5703125" customWidth="1"/>
  </cols>
  <sheetData>
    <row r="1" spans="1:22" ht="29.25" customHeight="1" thickBot="1" x14ac:dyDescent="0.25">
      <c r="A1" s="67" t="s">
        <v>127</v>
      </c>
      <c r="B1" s="68"/>
      <c r="C1" s="10">
        <v>10</v>
      </c>
      <c r="D1" s="9" t="s">
        <v>128</v>
      </c>
      <c r="E1" s="11" t="s">
        <v>129</v>
      </c>
      <c r="F1" s="9" t="s">
        <v>130</v>
      </c>
      <c r="G1" s="11" t="s">
        <v>131</v>
      </c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s="1" customFormat="1" ht="24" customHeight="1" x14ac:dyDescent="0.2">
      <c r="I2" s="15"/>
      <c r="J2" s="15"/>
      <c r="K2" s="15"/>
      <c r="L2" s="15"/>
      <c r="M2" s="15"/>
      <c r="N2" s="12" t="s">
        <v>1</v>
      </c>
      <c r="O2" s="12"/>
      <c r="P2" s="12"/>
      <c r="Q2" s="12"/>
      <c r="R2" s="13"/>
      <c r="S2" s="13"/>
      <c r="T2" s="15"/>
      <c r="U2" s="15"/>
      <c r="V2" s="15"/>
    </row>
    <row r="3" spans="1:22" s="61" customFormat="1" ht="42.95" customHeight="1" x14ac:dyDescent="0.2">
      <c r="A3" s="59" t="s">
        <v>2</v>
      </c>
      <c r="B3" s="59" t="s">
        <v>3</v>
      </c>
      <c r="C3" s="59" t="s">
        <v>133</v>
      </c>
      <c r="D3" s="59" t="s">
        <v>4</v>
      </c>
      <c r="E3" s="59" t="s">
        <v>5</v>
      </c>
      <c r="F3" s="59" t="s">
        <v>6</v>
      </c>
      <c r="G3" s="60" t="s">
        <v>7</v>
      </c>
      <c r="H3" s="59" t="s">
        <v>8</v>
      </c>
      <c r="I3" s="59" t="s">
        <v>9</v>
      </c>
      <c r="J3" s="59" t="s">
        <v>10</v>
      </c>
      <c r="K3" s="59" t="s">
        <v>11</v>
      </c>
      <c r="L3" s="59" t="s">
        <v>12</v>
      </c>
      <c r="M3" s="59" t="s">
        <v>13</v>
      </c>
      <c r="N3" s="17" t="s">
        <v>134</v>
      </c>
      <c r="O3" s="17" t="s">
        <v>140</v>
      </c>
      <c r="P3" s="17" t="s">
        <v>139</v>
      </c>
      <c r="Q3" s="17" t="s">
        <v>141</v>
      </c>
      <c r="R3" s="17" t="s">
        <v>132</v>
      </c>
      <c r="S3" s="17" t="s">
        <v>142</v>
      </c>
      <c r="U3" s="61" t="s">
        <v>204</v>
      </c>
    </row>
    <row r="4" spans="1:22" s="1" customFormat="1" ht="19.7" customHeight="1" x14ac:dyDescent="0.2">
      <c r="A4" s="3">
        <v>384028</v>
      </c>
      <c r="B4" s="4" t="s">
        <v>0</v>
      </c>
      <c r="C4" s="5">
        <v>1591</v>
      </c>
      <c r="D4" s="4" t="s">
        <v>14</v>
      </c>
      <c r="E4" s="4" t="s">
        <v>15</v>
      </c>
      <c r="F4" s="4" t="s">
        <v>16</v>
      </c>
      <c r="G4" s="4" t="s">
        <v>17</v>
      </c>
      <c r="H4" s="6">
        <v>42796</v>
      </c>
      <c r="I4" s="4" t="s">
        <v>18</v>
      </c>
      <c r="J4" s="32">
        <v>95636</v>
      </c>
      <c r="K4" s="4" t="s">
        <v>19</v>
      </c>
      <c r="L4" s="2">
        <v>5</v>
      </c>
      <c r="M4" s="16" t="s">
        <v>20</v>
      </c>
      <c r="N4" s="7">
        <v>4.93</v>
      </c>
      <c r="O4" s="44">
        <f>2.5/2</f>
        <v>1.25</v>
      </c>
      <c r="P4" s="44">
        <f t="shared" ref="P4:P35" si="0">O4/N4*R4</f>
        <v>15.230000000000002</v>
      </c>
      <c r="Q4" s="54">
        <f>P4*L4/100/21.7</f>
        <v>3.5092165898617515E-2</v>
      </c>
      <c r="R4" s="50">
        <v>60.067120000000003</v>
      </c>
      <c r="S4" s="54">
        <f>R4*L4/100</f>
        <v>3.0033560000000001</v>
      </c>
    </row>
    <row r="5" spans="1:22" s="1" customFormat="1" ht="19.7" customHeight="1" x14ac:dyDescent="0.2">
      <c r="A5" s="3">
        <v>384028</v>
      </c>
      <c r="B5" s="4" t="s">
        <v>0</v>
      </c>
      <c r="C5" s="5">
        <v>1591</v>
      </c>
      <c r="D5" s="4" t="s">
        <v>14</v>
      </c>
      <c r="E5" s="4" t="s">
        <v>15</v>
      </c>
      <c r="F5" s="4" t="s">
        <v>16</v>
      </c>
      <c r="G5" s="4" t="s">
        <v>21</v>
      </c>
      <c r="H5" s="6">
        <v>42808</v>
      </c>
      <c r="I5" s="4" t="s">
        <v>22</v>
      </c>
      <c r="J5" s="32">
        <v>540885</v>
      </c>
      <c r="K5" s="4" t="s">
        <v>23</v>
      </c>
      <c r="L5" s="2">
        <v>20</v>
      </c>
      <c r="M5" s="16" t="s">
        <v>20</v>
      </c>
      <c r="N5" s="7">
        <v>8.26</v>
      </c>
      <c r="O5" s="44">
        <f>4.88/2</f>
        <v>2.44</v>
      </c>
      <c r="P5" s="44">
        <f t="shared" si="0"/>
        <v>28.913999999999998</v>
      </c>
      <c r="Q5" s="54">
        <f>P5*L5/100/21.7</f>
        <v>0.26648847926267283</v>
      </c>
      <c r="R5" s="50">
        <v>97.881</v>
      </c>
      <c r="S5" s="54">
        <f>R5*L5/100</f>
        <v>19.5762</v>
      </c>
    </row>
    <row r="6" spans="1:22" s="1" customFormat="1" ht="19.7" customHeight="1" x14ac:dyDescent="0.2">
      <c r="A6" s="3">
        <v>384028</v>
      </c>
      <c r="B6" s="4" t="s">
        <v>0</v>
      </c>
      <c r="C6" s="5">
        <v>1591</v>
      </c>
      <c r="D6" s="4" t="s">
        <v>14</v>
      </c>
      <c r="E6" s="4" t="s">
        <v>15</v>
      </c>
      <c r="F6" s="4" t="s">
        <v>16</v>
      </c>
      <c r="G6" s="4" t="s">
        <v>24</v>
      </c>
      <c r="H6" s="6">
        <v>41863</v>
      </c>
      <c r="I6" s="4" t="s">
        <v>25</v>
      </c>
      <c r="J6" s="32">
        <v>101688</v>
      </c>
      <c r="K6" s="4" t="s">
        <v>26</v>
      </c>
      <c r="L6" s="2">
        <v>15</v>
      </c>
      <c r="M6" s="16" t="s">
        <v>20</v>
      </c>
      <c r="N6" s="7">
        <v>0.31</v>
      </c>
      <c r="O6" s="44">
        <f>0.25/2</f>
        <v>0.125</v>
      </c>
      <c r="P6" s="44">
        <f t="shared" si="0"/>
        <v>1.1516250000000001</v>
      </c>
      <c r="Q6" s="54">
        <f>P6*L6/100/21.7*0.1075</f>
        <v>8.5575820852534584E-4</v>
      </c>
      <c r="R6" s="50">
        <v>2.8560300000000001</v>
      </c>
      <c r="S6" s="54">
        <f>R6*L6/100*0.1075</f>
        <v>4.6053483749999999E-2</v>
      </c>
      <c r="U6" s="1" t="s">
        <v>205</v>
      </c>
    </row>
    <row r="7" spans="1:22" s="1" customFormat="1" ht="19.7" customHeight="1" x14ac:dyDescent="0.2">
      <c r="A7" s="3">
        <v>384028</v>
      </c>
      <c r="B7" s="4" t="s">
        <v>0</v>
      </c>
      <c r="C7" s="5">
        <v>1591</v>
      </c>
      <c r="D7" s="4" t="s">
        <v>14</v>
      </c>
      <c r="E7" s="4" t="s">
        <v>15</v>
      </c>
      <c r="F7" s="4" t="s">
        <v>16</v>
      </c>
      <c r="G7" s="4" t="s">
        <v>24</v>
      </c>
      <c r="H7" s="6">
        <v>41863</v>
      </c>
      <c r="I7" s="4" t="s">
        <v>25</v>
      </c>
      <c r="J7" s="32">
        <v>1330207</v>
      </c>
      <c r="K7" s="4" t="s">
        <v>27</v>
      </c>
      <c r="L7" s="2">
        <v>25</v>
      </c>
      <c r="M7" s="16" t="s">
        <v>20</v>
      </c>
      <c r="N7" s="7">
        <v>0.31</v>
      </c>
      <c r="O7" s="44">
        <f>0.25/2</f>
        <v>0.125</v>
      </c>
      <c r="P7" s="44">
        <f t="shared" si="0"/>
        <v>1.1516250000000001</v>
      </c>
      <c r="Q7" s="54">
        <f>P7*L7/100/21.7</f>
        <v>1.3267569124423966E-2</v>
      </c>
      <c r="R7" s="50">
        <v>2.8560300000000001</v>
      </c>
      <c r="S7" s="54">
        <f>R7*L7/100</f>
        <v>0.71400750000000002</v>
      </c>
    </row>
    <row r="8" spans="1:22" s="1" customFormat="1" ht="19.7" customHeight="1" x14ac:dyDescent="0.2">
      <c r="A8" s="3">
        <v>384028</v>
      </c>
      <c r="B8" s="4" t="s">
        <v>0</v>
      </c>
      <c r="C8" s="5">
        <v>1591</v>
      </c>
      <c r="D8" s="4" t="s">
        <v>14</v>
      </c>
      <c r="E8" s="4" t="s">
        <v>15</v>
      </c>
      <c r="F8" s="4" t="s">
        <v>16</v>
      </c>
      <c r="G8" s="4" t="s">
        <v>24</v>
      </c>
      <c r="H8" s="6">
        <v>41863</v>
      </c>
      <c r="I8" s="4" t="s">
        <v>25</v>
      </c>
      <c r="J8" s="32">
        <v>7429905</v>
      </c>
      <c r="K8" s="4" t="s">
        <v>28</v>
      </c>
      <c r="L8" s="2">
        <v>25</v>
      </c>
      <c r="M8" s="16" t="s">
        <v>29</v>
      </c>
      <c r="N8" s="7">
        <v>0.31</v>
      </c>
      <c r="O8" s="44">
        <f>0.25/2</f>
        <v>0.125</v>
      </c>
      <c r="P8" s="44">
        <f t="shared" si="0"/>
        <v>1.1516250000000001</v>
      </c>
      <c r="Q8" s="54">
        <f>P8*L8/100*(1-0.65)*(1-F8/100)/21.7</f>
        <v>4.6436491935483861E-4</v>
      </c>
      <c r="R8" s="50">
        <v>2.8560300000000001</v>
      </c>
      <c r="S8" s="54">
        <f>R8*L8/100*(1-0.65)*(1-F8/100)</f>
        <v>2.4990262499999992E-2</v>
      </c>
    </row>
    <row r="9" spans="1:22" s="1" customFormat="1" ht="19.7" customHeight="1" x14ac:dyDescent="0.2">
      <c r="A9" s="18">
        <v>384028</v>
      </c>
      <c r="B9" s="19" t="s">
        <v>0</v>
      </c>
      <c r="C9" s="20">
        <v>1591</v>
      </c>
      <c r="D9" s="19" t="s">
        <v>14</v>
      </c>
      <c r="E9" s="19" t="s">
        <v>15</v>
      </c>
      <c r="F9" s="19" t="s">
        <v>16</v>
      </c>
      <c r="G9" s="19" t="s">
        <v>24</v>
      </c>
      <c r="H9" s="21">
        <v>41863</v>
      </c>
      <c r="I9" s="19" t="s">
        <v>25</v>
      </c>
      <c r="J9" s="33">
        <v>101688</v>
      </c>
      <c r="K9" s="19" t="s">
        <v>137</v>
      </c>
      <c r="L9" s="22">
        <v>5</v>
      </c>
      <c r="M9" s="23" t="s">
        <v>20</v>
      </c>
      <c r="N9" s="24">
        <v>0.31</v>
      </c>
      <c r="O9" s="45">
        <f>0.25/2</f>
        <v>0.125</v>
      </c>
      <c r="P9" s="45">
        <f t="shared" si="0"/>
        <v>1.1516250000000001</v>
      </c>
      <c r="Q9" s="55">
        <f>P9*L9/100/21.7*0.1075</f>
        <v>2.8525273617511522E-4</v>
      </c>
      <c r="R9" s="51">
        <v>2.8560300000000001</v>
      </c>
      <c r="S9" s="55">
        <f>R9*L9/100*0.1075</f>
        <v>1.535116125E-2</v>
      </c>
      <c r="U9" s="1" t="s">
        <v>205</v>
      </c>
    </row>
    <row r="10" spans="1:22" s="1" customFormat="1" ht="19.7" customHeight="1" x14ac:dyDescent="0.2">
      <c r="A10" s="3">
        <v>384028</v>
      </c>
      <c r="B10" s="4" t="s">
        <v>0</v>
      </c>
      <c r="C10" s="5">
        <v>1591</v>
      </c>
      <c r="D10" s="4" t="s">
        <v>14</v>
      </c>
      <c r="E10" s="4" t="s">
        <v>15</v>
      </c>
      <c r="F10" s="4" t="s">
        <v>16</v>
      </c>
      <c r="G10" s="4" t="s">
        <v>30</v>
      </c>
      <c r="H10" s="6">
        <v>42349</v>
      </c>
      <c r="I10" s="4" t="s">
        <v>31</v>
      </c>
      <c r="J10" s="32">
        <v>111762</v>
      </c>
      <c r="K10" s="4" t="s">
        <v>32</v>
      </c>
      <c r="L10" s="2">
        <v>10</v>
      </c>
      <c r="M10" s="16" t="s">
        <v>20</v>
      </c>
      <c r="N10" s="7">
        <v>1.47</v>
      </c>
      <c r="O10" s="44">
        <v>1.47</v>
      </c>
      <c r="P10" s="44">
        <f t="shared" si="0"/>
        <v>13.24911</v>
      </c>
      <c r="Q10" s="54">
        <f t="shared" ref="Q10:Q15" si="1">P10*L10/100/21.7</f>
        <v>6.1055806451612904E-2</v>
      </c>
      <c r="R10" s="50">
        <v>13.24911</v>
      </c>
      <c r="S10" s="54">
        <f t="shared" ref="S10:S15" si="2">R10*L10/100</f>
        <v>1.3249109999999999</v>
      </c>
    </row>
    <row r="11" spans="1:22" s="1" customFormat="1" ht="19.7" customHeight="1" x14ac:dyDescent="0.2">
      <c r="A11" s="3">
        <v>384028</v>
      </c>
      <c r="B11" s="4" t="s">
        <v>0</v>
      </c>
      <c r="C11" s="5">
        <v>1591</v>
      </c>
      <c r="D11" s="4" t="s">
        <v>14</v>
      </c>
      <c r="E11" s="4" t="s">
        <v>15</v>
      </c>
      <c r="F11" s="4" t="s">
        <v>16</v>
      </c>
      <c r="G11" s="4" t="s">
        <v>30</v>
      </c>
      <c r="H11" s="6">
        <v>42349</v>
      </c>
      <c r="I11" s="4" t="s">
        <v>31</v>
      </c>
      <c r="J11" s="32">
        <v>112345</v>
      </c>
      <c r="K11" s="4" t="s">
        <v>33</v>
      </c>
      <c r="L11" s="2">
        <v>3</v>
      </c>
      <c r="M11" s="16" t="s">
        <v>20</v>
      </c>
      <c r="N11" s="7">
        <v>1.47</v>
      </c>
      <c r="O11" s="44">
        <v>1.47</v>
      </c>
      <c r="P11" s="44">
        <f t="shared" si="0"/>
        <v>13.24911</v>
      </c>
      <c r="Q11" s="54">
        <f t="shared" si="1"/>
        <v>1.8316741935483872E-2</v>
      </c>
      <c r="R11" s="50">
        <v>13.24911</v>
      </c>
      <c r="S11" s="54">
        <f t="shared" si="2"/>
        <v>0.39747329999999997</v>
      </c>
    </row>
    <row r="12" spans="1:22" s="1" customFormat="1" ht="19.7" customHeight="1" x14ac:dyDescent="0.2">
      <c r="A12" s="3">
        <v>384028</v>
      </c>
      <c r="B12" s="4" t="s">
        <v>0</v>
      </c>
      <c r="C12" s="5">
        <v>1591</v>
      </c>
      <c r="D12" s="4" t="s">
        <v>14</v>
      </c>
      <c r="E12" s="4" t="s">
        <v>15</v>
      </c>
      <c r="F12" s="4" t="s">
        <v>16</v>
      </c>
      <c r="G12" s="4" t="s">
        <v>30</v>
      </c>
      <c r="H12" s="6">
        <v>42349</v>
      </c>
      <c r="I12" s="4" t="s">
        <v>31</v>
      </c>
      <c r="J12" s="32">
        <v>7664417</v>
      </c>
      <c r="K12" s="4" t="s">
        <v>34</v>
      </c>
      <c r="L12" s="2">
        <v>0.2</v>
      </c>
      <c r="M12" s="16" t="s">
        <v>20</v>
      </c>
      <c r="N12" s="7">
        <v>1.47</v>
      </c>
      <c r="O12" s="44">
        <v>1.47</v>
      </c>
      <c r="P12" s="44">
        <f t="shared" si="0"/>
        <v>13.24911</v>
      </c>
      <c r="Q12" s="54">
        <f t="shared" si="1"/>
        <v>1.2211161290322581E-3</v>
      </c>
      <c r="R12" s="50">
        <v>13.24911</v>
      </c>
      <c r="S12" s="54">
        <f t="shared" si="2"/>
        <v>2.6498220000000003E-2</v>
      </c>
    </row>
    <row r="13" spans="1:22" s="1" customFormat="1" ht="19.7" customHeight="1" x14ac:dyDescent="0.2">
      <c r="A13" s="3">
        <v>384028</v>
      </c>
      <c r="B13" s="4" t="s">
        <v>0</v>
      </c>
      <c r="C13" s="5">
        <v>1591</v>
      </c>
      <c r="D13" s="4" t="s">
        <v>14</v>
      </c>
      <c r="E13" s="4" t="s">
        <v>15</v>
      </c>
      <c r="F13" s="4" t="s">
        <v>16</v>
      </c>
      <c r="G13" s="4" t="s">
        <v>30</v>
      </c>
      <c r="H13" s="6">
        <v>42349</v>
      </c>
      <c r="I13" s="4" t="s">
        <v>31</v>
      </c>
      <c r="J13" s="32">
        <v>85687</v>
      </c>
      <c r="K13" s="4" t="s">
        <v>35</v>
      </c>
      <c r="L13" s="2">
        <v>3</v>
      </c>
      <c r="M13" s="16" t="s">
        <v>20</v>
      </c>
      <c r="N13" s="7">
        <v>1.47</v>
      </c>
      <c r="O13" s="44">
        <v>1.47</v>
      </c>
      <c r="P13" s="44">
        <f t="shared" si="0"/>
        <v>13.24911</v>
      </c>
      <c r="Q13" s="54">
        <f t="shared" si="1"/>
        <v>1.8316741935483872E-2</v>
      </c>
      <c r="R13" s="50">
        <v>13.24911</v>
      </c>
      <c r="S13" s="54">
        <f t="shared" si="2"/>
        <v>0.39747329999999997</v>
      </c>
    </row>
    <row r="14" spans="1:22" s="1" customFormat="1" ht="19.7" customHeight="1" x14ac:dyDescent="0.2">
      <c r="A14" s="3">
        <v>384029</v>
      </c>
      <c r="B14" s="4" t="s">
        <v>0</v>
      </c>
      <c r="C14" s="5">
        <v>1592</v>
      </c>
      <c r="D14" s="4" t="s">
        <v>14</v>
      </c>
      <c r="E14" s="4" t="s">
        <v>15</v>
      </c>
      <c r="F14" s="4" t="s">
        <v>36</v>
      </c>
      <c r="G14" s="4" t="s">
        <v>17</v>
      </c>
      <c r="H14" s="6">
        <v>42796</v>
      </c>
      <c r="I14" s="4" t="s">
        <v>18</v>
      </c>
      <c r="J14" s="32">
        <v>95636</v>
      </c>
      <c r="K14" s="4" t="s">
        <v>19</v>
      </c>
      <c r="L14" s="2">
        <v>5</v>
      </c>
      <c r="M14" s="16" t="s">
        <v>20</v>
      </c>
      <c r="N14" s="7">
        <v>4.93</v>
      </c>
      <c r="O14" s="44">
        <f>2.5/2</f>
        <v>1.25</v>
      </c>
      <c r="P14" s="44">
        <f t="shared" si="0"/>
        <v>15.230000000000002</v>
      </c>
      <c r="Q14" s="54">
        <f t="shared" si="1"/>
        <v>3.5092165898617515E-2</v>
      </c>
      <c r="R14" s="50">
        <v>60.067120000000003</v>
      </c>
      <c r="S14" s="54">
        <f t="shared" si="2"/>
        <v>3.0033560000000001</v>
      </c>
    </row>
    <row r="15" spans="1:22" s="1" customFormat="1" ht="19.7" customHeight="1" x14ac:dyDescent="0.2">
      <c r="A15" s="3">
        <v>384029</v>
      </c>
      <c r="B15" s="4" t="s">
        <v>0</v>
      </c>
      <c r="C15" s="5">
        <v>1592</v>
      </c>
      <c r="D15" s="4" t="s">
        <v>14</v>
      </c>
      <c r="E15" s="4" t="s">
        <v>15</v>
      </c>
      <c r="F15" s="4" t="s">
        <v>36</v>
      </c>
      <c r="G15" s="4" t="s">
        <v>21</v>
      </c>
      <c r="H15" s="6">
        <v>42808</v>
      </c>
      <c r="I15" s="4" t="s">
        <v>22</v>
      </c>
      <c r="J15" s="32">
        <v>540885</v>
      </c>
      <c r="K15" s="4" t="s">
        <v>23</v>
      </c>
      <c r="L15" s="2">
        <v>20</v>
      </c>
      <c r="M15" s="16" t="s">
        <v>20</v>
      </c>
      <c r="N15" s="7">
        <v>8.26</v>
      </c>
      <c r="O15" s="44">
        <f>4.88/2</f>
        <v>2.44</v>
      </c>
      <c r="P15" s="44">
        <f t="shared" si="0"/>
        <v>28.913999999999998</v>
      </c>
      <c r="Q15" s="54">
        <f t="shared" si="1"/>
        <v>0.26648847926267283</v>
      </c>
      <c r="R15" s="50">
        <v>97.881</v>
      </c>
      <c r="S15" s="54">
        <f t="shared" si="2"/>
        <v>19.5762</v>
      </c>
    </row>
    <row r="16" spans="1:22" s="1" customFormat="1" ht="19.7" customHeight="1" x14ac:dyDescent="0.2">
      <c r="A16" s="3">
        <v>384029</v>
      </c>
      <c r="B16" s="4" t="s">
        <v>0</v>
      </c>
      <c r="C16" s="5">
        <v>1592</v>
      </c>
      <c r="D16" s="4" t="s">
        <v>14</v>
      </c>
      <c r="E16" s="4" t="s">
        <v>15</v>
      </c>
      <c r="F16" s="4" t="s">
        <v>36</v>
      </c>
      <c r="G16" s="4" t="s">
        <v>24</v>
      </c>
      <c r="H16" s="6">
        <v>41863</v>
      </c>
      <c r="I16" s="4" t="s">
        <v>25</v>
      </c>
      <c r="J16" s="32">
        <v>101688</v>
      </c>
      <c r="K16" s="4" t="s">
        <v>26</v>
      </c>
      <c r="L16" s="2">
        <v>15</v>
      </c>
      <c r="M16" s="16" t="s">
        <v>20</v>
      </c>
      <c r="N16" s="7">
        <v>0.31</v>
      </c>
      <c r="O16" s="44">
        <f>0.25/2</f>
        <v>0.125</v>
      </c>
      <c r="P16" s="44">
        <f t="shared" si="0"/>
        <v>1.1516250000000001</v>
      </c>
      <c r="Q16" s="54">
        <f>P16*L16/100/21.7*0.1075</f>
        <v>8.5575820852534584E-4</v>
      </c>
      <c r="R16" s="50">
        <v>2.8560300000000001</v>
      </c>
      <c r="S16" s="54">
        <f>R16*L16/100*0.1075</f>
        <v>4.6053483749999999E-2</v>
      </c>
      <c r="U16" s="1" t="s">
        <v>205</v>
      </c>
    </row>
    <row r="17" spans="1:21" s="1" customFormat="1" ht="19.7" customHeight="1" x14ac:dyDescent="0.2">
      <c r="A17" s="3">
        <v>384029</v>
      </c>
      <c r="B17" s="4" t="s">
        <v>0</v>
      </c>
      <c r="C17" s="5">
        <v>1592</v>
      </c>
      <c r="D17" s="4" t="s">
        <v>14</v>
      </c>
      <c r="E17" s="4" t="s">
        <v>15</v>
      </c>
      <c r="F17" s="4" t="s">
        <v>36</v>
      </c>
      <c r="G17" s="4" t="s">
        <v>24</v>
      </c>
      <c r="H17" s="6">
        <v>41863</v>
      </c>
      <c r="I17" s="4" t="s">
        <v>25</v>
      </c>
      <c r="J17" s="32">
        <v>1330207</v>
      </c>
      <c r="K17" s="4" t="s">
        <v>27</v>
      </c>
      <c r="L17" s="2">
        <v>25</v>
      </c>
      <c r="M17" s="16" t="s">
        <v>20</v>
      </c>
      <c r="N17" s="7">
        <v>0.31</v>
      </c>
      <c r="O17" s="44">
        <f>0.25/2</f>
        <v>0.125</v>
      </c>
      <c r="P17" s="44">
        <f t="shared" si="0"/>
        <v>1.1516250000000001</v>
      </c>
      <c r="Q17" s="54">
        <f>P17*L17/100/21.7</f>
        <v>1.3267569124423966E-2</v>
      </c>
      <c r="R17" s="50">
        <v>2.8560300000000001</v>
      </c>
      <c r="S17" s="54">
        <f>R17*L17/100</f>
        <v>0.71400750000000002</v>
      </c>
    </row>
    <row r="18" spans="1:21" s="1" customFormat="1" ht="19.7" customHeight="1" x14ac:dyDescent="0.2">
      <c r="A18" s="3">
        <v>384029</v>
      </c>
      <c r="B18" s="4" t="s">
        <v>0</v>
      </c>
      <c r="C18" s="5">
        <v>1592</v>
      </c>
      <c r="D18" s="4" t="s">
        <v>14</v>
      </c>
      <c r="E18" s="4" t="s">
        <v>15</v>
      </c>
      <c r="F18" s="4" t="s">
        <v>36</v>
      </c>
      <c r="G18" s="4" t="s">
        <v>24</v>
      </c>
      <c r="H18" s="6">
        <v>41863</v>
      </c>
      <c r="I18" s="4" t="s">
        <v>25</v>
      </c>
      <c r="J18" s="32">
        <v>7429905</v>
      </c>
      <c r="K18" s="4" t="s">
        <v>28</v>
      </c>
      <c r="L18" s="2">
        <v>25</v>
      </c>
      <c r="M18" s="16" t="s">
        <v>29</v>
      </c>
      <c r="N18" s="7">
        <v>0.31</v>
      </c>
      <c r="O18" s="44">
        <f>0.25/2</f>
        <v>0.125</v>
      </c>
      <c r="P18" s="44">
        <f t="shared" si="0"/>
        <v>1.1516250000000001</v>
      </c>
      <c r="Q18" s="54">
        <f>P18*L18/100*(1-0.65)*(1-F18/100)/21.7</f>
        <v>1.3930947580645166E-3</v>
      </c>
      <c r="R18" s="50">
        <v>2.8560300000000001</v>
      </c>
      <c r="S18" s="54">
        <f>R18*L18/100*(1-0.65)*(1-F18/100)</f>
        <v>7.4970787500000011E-2</v>
      </c>
    </row>
    <row r="19" spans="1:21" s="1" customFormat="1" ht="19.7" customHeight="1" x14ac:dyDescent="0.2">
      <c r="A19" s="18">
        <v>384029</v>
      </c>
      <c r="B19" s="19" t="s">
        <v>0</v>
      </c>
      <c r="C19" s="20">
        <v>1592</v>
      </c>
      <c r="D19" s="19" t="s">
        <v>14</v>
      </c>
      <c r="E19" s="19" t="s">
        <v>15</v>
      </c>
      <c r="F19" s="19" t="s">
        <v>16</v>
      </c>
      <c r="G19" s="19" t="s">
        <v>24</v>
      </c>
      <c r="H19" s="21">
        <v>41863</v>
      </c>
      <c r="I19" s="19" t="s">
        <v>25</v>
      </c>
      <c r="J19" s="33">
        <v>101688</v>
      </c>
      <c r="K19" s="19" t="s">
        <v>137</v>
      </c>
      <c r="L19" s="22">
        <v>5</v>
      </c>
      <c r="M19" s="23" t="s">
        <v>20</v>
      </c>
      <c r="N19" s="24">
        <v>0.31</v>
      </c>
      <c r="O19" s="45">
        <f>0.25/2</f>
        <v>0.125</v>
      </c>
      <c r="P19" s="45">
        <f t="shared" si="0"/>
        <v>1.1516250000000001</v>
      </c>
      <c r="Q19" s="55">
        <f>P19*L19/100/21.7*0.1075</f>
        <v>2.8525273617511522E-4</v>
      </c>
      <c r="R19" s="51">
        <v>2.8560300000000001</v>
      </c>
      <c r="S19" s="55">
        <f>R19*L19/100*0.1075</f>
        <v>1.535116125E-2</v>
      </c>
      <c r="U19" s="1" t="s">
        <v>205</v>
      </c>
    </row>
    <row r="20" spans="1:21" s="1" customFormat="1" ht="19.7" customHeight="1" x14ac:dyDescent="0.2">
      <c r="A20" s="3">
        <v>384029</v>
      </c>
      <c r="B20" s="4" t="s">
        <v>0</v>
      </c>
      <c r="C20" s="5">
        <v>1592</v>
      </c>
      <c r="D20" s="4" t="s">
        <v>14</v>
      </c>
      <c r="E20" s="4" t="s">
        <v>15</v>
      </c>
      <c r="F20" s="4" t="s">
        <v>36</v>
      </c>
      <c r="G20" s="4" t="s">
        <v>30</v>
      </c>
      <c r="H20" s="6">
        <v>42349</v>
      </c>
      <c r="I20" s="4" t="s">
        <v>31</v>
      </c>
      <c r="J20" s="32">
        <v>111762</v>
      </c>
      <c r="K20" s="4" t="s">
        <v>32</v>
      </c>
      <c r="L20" s="2">
        <v>10</v>
      </c>
      <c r="M20" s="16" t="s">
        <v>20</v>
      </c>
      <c r="N20" s="7">
        <v>1.47</v>
      </c>
      <c r="O20" s="44">
        <v>1.47</v>
      </c>
      <c r="P20" s="44">
        <f t="shared" si="0"/>
        <v>13.24911</v>
      </c>
      <c r="Q20" s="54">
        <f>P20*L20/100/21.7</f>
        <v>6.1055806451612904E-2</v>
      </c>
      <c r="R20" s="50">
        <v>13.24911</v>
      </c>
      <c r="S20" s="54">
        <f>R20*L20/100</f>
        <v>1.3249109999999999</v>
      </c>
    </row>
    <row r="21" spans="1:21" s="1" customFormat="1" ht="19.7" customHeight="1" x14ac:dyDescent="0.2">
      <c r="A21" s="3">
        <v>384029</v>
      </c>
      <c r="B21" s="4" t="s">
        <v>0</v>
      </c>
      <c r="C21" s="5">
        <v>1592</v>
      </c>
      <c r="D21" s="4" t="s">
        <v>14</v>
      </c>
      <c r="E21" s="4" t="s">
        <v>15</v>
      </c>
      <c r="F21" s="4" t="s">
        <v>36</v>
      </c>
      <c r="G21" s="4" t="s">
        <v>30</v>
      </c>
      <c r="H21" s="6">
        <v>42349</v>
      </c>
      <c r="I21" s="4" t="s">
        <v>31</v>
      </c>
      <c r="J21" s="32">
        <v>112345</v>
      </c>
      <c r="K21" s="4" t="s">
        <v>33</v>
      </c>
      <c r="L21" s="2">
        <v>3</v>
      </c>
      <c r="M21" s="16" t="s">
        <v>20</v>
      </c>
      <c r="N21" s="7">
        <v>1.47</v>
      </c>
      <c r="O21" s="44">
        <v>1.47</v>
      </c>
      <c r="P21" s="44">
        <f t="shared" si="0"/>
        <v>13.24911</v>
      </c>
      <c r="Q21" s="54">
        <f>P21*L21/100/21.7</f>
        <v>1.8316741935483872E-2</v>
      </c>
      <c r="R21" s="50">
        <v>13.24911</v>
      </c>
      <c r="S21" s="54">
        <f>R21*L21/100</f>
        <v>0.39747329999999997</v>
      </c>
    </row>
    <row r="22" spans="1:21" s="1" customFormat="1" ht="19.7" customHeight="1" x14ac:dyDescent="0.2">
      <c r="A22" s="3">
        <v>384029</v>
      </c>
      <c r="B22" s="4" t="s">
        <v>0</v>
      </c>
      <c r="C22" s="5">
        <v>1592</v>
      </c>
      <c r="D22" s="4" t="s">
        <v>14</v>
      </c>
      <c r="E22" s="4" t="s">
        <v>15</v>
      </c>
      <c r="F22" s="4" t="s">
        <v>36</v>
      </c>
      <c r="G22" s="4" t="s">
        <v>30</v>
      </c>
      <c r="H22" s="6">
        <v>42349</v>
      </c>
      <c r="I22" s="4" t="s">
        <v>31</v>
      </c>
      <c r="J22" s="32">
        <v>7664417</v>
      </c>
      <c r="K22" s="4" t="s">
        <v>34</v>
      </c>
      <c r="L22" s="2">
        <v>0.2</v>
      </c>
      <c r="M22" s="16" t="s">
        <v>20</v>
      </c>
      <c r="N22" s="7">
        <v>1.47</v>
      </c>
      <c r="O22" s="44">
        <v>1.47</v>
      </c>
      <c r="P22" s="44">
        <f t="shared" si="0"/>
        <v>13.24911</v>
      </c>
      <c r="Q22" s="54">
        <f>P22*L22/100/21.7</f>
        <v>1.2211161290322581E-3</v>
      </c>
      <c r="R22" s="50">
        <v>13.24911</v>
      </c>
      <c r="S22" s="54">
        <f>R22*L22/100</f>
        <v>2.6498220000000003E-2</v>
      </c>
    </row>
    <row r="23" spans="1:21" s="1" customFormat="1" ht="19.7" customHeight="1" x14ac:dyDescent="0.2">
      <c r="A23" s="3">
        <v>384029</v>
      </c>
      <c r="B23" s="4" t="s">
        <v>0</v>
      </c>
      <c r="C23" s="5">
        <v>1592</v>
      </c>
      <c r="D23" s="4" t="s">
        <v>14</v>
      </c>
      <c r="E23" s="4" t="s">
        <v>15</v>
      </c>
      <c r="F23" s="4" t="s">
        <v>36</v>
      </c>
      <c r="G23" s="4" t="s">
        <v>30</v>
      </c>
      <c r="H23" s="6">
        <v>42349</v>
      </c>
      <c r="I23" s="4" t="s">
        <v>31</v>
      </c>
      <c r="J23" s="32">
        <v>85687</v>
      </c>
      <c r="K23" s="4" t="s">
        <v>35</v>
      </c>
      <c r="L23" s="2">
        <v>3</v>
      </c>
      <c r="M23" s="16" t="s">
        <v>20</v>
      </c>
      <c r="N23" s="7">
        <v>1.47</v>
      </c>
      <c r="O23" s="44">
        <v>1.47</v>
      </c>
      <c r="P23" s="44">
        <f t="shared" si="0"/>
        <v>13.24911</v>
      </c>
      <c r="Q23" s="54">
        <f>P23*L23/100/21.7</f>
        <v>1.8316741935483872E-2</v>
      </c>
      <c r="R23" s="50">
        <v>13.24911</v>
      </c>
      <c r="S23" s="54">
        <f>R23*L23/100</f>
        <v>0.39747329999999997</v>
      </c>
    </row>
    <row r="24" spans="1:21" s="1" customFormat="1" ht="19.7" customHeight="1" x14ac:dyDescent="0.2">
      <c r="A24" s="3">
        <v>107926</v>
      </c>
      <c r="B24" s="4" t="s">
        <v>0</v>
      </c>
      <c r="C24" s="5">
        <v>1598</v>
      </c>
      <c r="D24" s="4" t="s">
        <v>37</v>
      </c>
      <c r="E24" s="4" t="s">
        <v>38</v>
      </c>
      <c r="F24" s="4" t="s">
        <v>36</v>
      </c>
      <c r="G24" s="4" t="s">
        <v>39</v>
      </c>
      <c r="H24" s="6">
        <v>43138</v>
      </c>
      <c r="I24" s="4" t="s">
        <v>40</v>
      </c>
      <c r="J24" s="32">
        <v>1314132</v>
      </c>
      <c r="K24" s="4" t="s">
        <v>41</v>
      </c>
      <c r="L24" s="2">
        <v>100</v>
      </c>
      <c r="M24" s="16" t="s">
        <v>29</v>
      </c>
      <c r="N24" s="7">
        <v>0.75</v>
      </c>
      <c r="O24" s="44">
        <v>0.75</v>
      </c>
      <c r="P24" s="44">
        <f t="shared" si="0"/>
        <v>44.376750000000001</v>
      </c>
      <c r="Q24" s="54">
        <f>P24*L24/100*(1-0.65)*(1-F24/100)/21.7</f>
        <v>0.21472620967741937</v>
      </c>
      <c r="R24" s="50">
        <v>44.376750000000001</v>
      </c>
      <c r="S24" s="54">
        <f>R24*L24/100*(1-0.65)*(1-F24/100)</f>
        <v>4.6595587500000004</v>
      </c>
    </row>
    <row r="25" spans="1:21" s="1" customFormat="1" ht="19.7" customHeight="1" x14ac:dyDescent="0.2">
      <c r="A25" s="3">
        <v>107926</v>
      </c>
      <c r="B25" s="4" t="s">
        <v>0</v>
      </c>
      <c r="C25" s="5">
        <v>1598</v>
      </c>
      <c r="D25" s="4" t="s">
        <v>37</v>
      </c>
      <c r="E25" s="4" t="s">
        <v>38</v>
      </c>
      <c r="F25" s="4" t="s">
        <v>36</v>
      </c>
      <c r="G25" s="4" t="s">
        <v>39</v>
      </c>
      <c r="H25" s="6">
        <v>43138</v>
      </c>
      <c r="I25" s="4" t="s">
        <v>42</v>
      </c>
      <c r="J25" s="32">
        <v>107982</v>
      </c>
      <c r="K25" s="4" t="s">
        <v>43</v>
      </c>
      <c r="L25" s="2">
        <v>5</v>
      </c>
      <c r="M25" s="16" t="s">
        <v>20</v>
      </c>
      <c r="N25" s="7">
        <v>1</v>
      </c>
      <c r="O25" s="44">
        <v>1</v>
      </c>
      <c r="P25" s="44">
        <f t="shared" si="0"/>
        <v>8.4290000000000003</v>
      </c>
      <c r="Q25" s="54">
        <f>P25*L25/100/21.7</f>
        <v>1.9421658986175119E-2</v>
      </c>
      <c r="R25" s="50">
        <v>8.4290000000000003</v>
      </c>
      <c r="S25" s="54">
        <f>R25*L25/100</f>
        <v>0.42145000000000005</v>
      </c>
    </row>
    <row r="26" spans="1:21" s="1" customFormat="1" ht="19.7" customHeight="1" x14ac:dyDescent="0.2">
      <c r="A26" s="3">
        <v>107926</v>
      </c>
      <c r="B26" s="4" t="s">
        <v>0</v>
      </c>
      <c r="C26" s="5">
        <v>1598</v>
      </c>
      <c r="D26" s="4" t="s">
        <v>37</v>
      </c>
      <c r="E26" s="4" t="s">
        <v>38</v>
      </c>
      <c r="F26" s="4" t="s">
        <v>36</v>
      </c>
      <c r="G26" s="4" t="s">
        <v>39</v>
      </c>
      <c r="H26" s="6">
        <v>43138</v>
      </c>
      <c r="I26" s="4" t="s">
        <v>42</v>
      </c>
      <c r="J26" s="32">
        <v>111762</v>
      </c>
      <c r="K26" s="4" t="s">
        <v>32</v>
      </c>
      <c r="L26" s="2">
        <v>5</v>
      </c>
      <c r="M26" s="16" t="s">
        <v>20</v>
      </c>
      <c r="N26" s="7">
        <v>1</v>
      </c>
      <c r="O26" s="44">
        <v>1</v>
      </c>
      <c r="P26" s="44">
        <f t="shared" si="0"/>
        <v>8.4290000000000003</v>
      </c>
      <c r="Q26" s="54">
        <f>P26*L26/100/21.7</f>
        <v>1.9421658986175119E-2</v>
      </c>
      <c r="R26" s="50">
        <v>8.4290000000000003</v>
      </c>
      <c r="S26" s="54">
        <f>R26*L26/100</f>
        <v>0.42145000000000005</v>
      </c>
    </row>
    <row r="27" spans="1:21" s="1" customFormat="1" ht="19.7" customHeight="1" x14ac:dyDescent="0.2">
      <c r="A27" s="3">
        <v>107926</v>
      </c>
      <c r="B27" s="4" t="s">
        <v>0</v>
      </c>
      <c r="C27" s="5">
        <v>1598</v>
      </c>
      <c r="D27" s="4" t="s">
        <v>37</v>
      </c>
      <c r="E27" s="4" t="s">
        <v>38</v>
      </c>
      <c r="F27" s="4" t="s">
        <v>36</v>
      </c>
      <c r="G27" s="4" t="s">
        <v>39</v>
      </c>
      <c r="H27" s="6">
        <v>43138</v>
      </c>
      <c r="I27" s="4" t="s">
        <v>42</v>
      </c>
      <c r="J27" s="32">
        <v>121448</v>
      </c>
      <c r="K27" s="4" t="s">
        <v>44</v>
      </c>
      <c r="L27" s="2">
        <v>5</v>
      </c>
      <c r="M27" s="16" t="s">
        <v>20</v>
      </c>
      <c r="N27" s="7">
        <v>1</v>
      </c>
      <c r="O27" s="44">
        <v>1</v>
      </c>
      <c r="P27" s="44">
        <f t="shared" si="0"/>
        <v>8.4290000000000003</v>
      </c>
      <c r="Q27" s="54">
        <f>P27*L27/100/21.7</f>
        <v>1.9421658986175119E-2</v>
      </c>
      <c r="R27" s="50">
        <v>8.4290000000000003</v>
      </c>
      <c r="S27" s="54">
        <f>R27*L27/100</f>
        <v>0.42145000000000005</v>
      </c>
    </row>
    <row r="28" spans="1:21" s="1" customFormat="1" ht="19.7" customHeight="1" x14ac:dyDescent="0.2">
      <c r="A28" s="3">
        <v>107926</v>
      </c>
      <c r="B28" s="4" t="s">
        <v>0</v>
      </c>
      <c r="C28" s="5">
        <v>1598</v>
      </c>
      <c r="D28" s="4" t="s">
        <v>37</v>
      </c>
      <c r="E28" s="4" t="s">
        <v>38</v>
      </c>
      <c r="F28" s="4" t="s">
        <v>36</v>
      </c>
      <c r="G28" s="4" t="s">
        <v>45</v>
      </c>
      <c r="H28" s="6">
        <v>40662</v>
      </c>
      <c r="I28" s="4" t="s">
        <v>46</v>
      </c>
      <c r="J28" s="32">
        <v>100414</v>
      </c>
      <c r="K28" s="4" t="s">
        <v>47</v>
      </c>
      <c r="L28" s="2">
        <v>2</v>
      </c>
      <c r="M28" s="16" t="s">
        <v>20</v>
      </c>
      <c r="N28" s="7">
        <v>0.5</v>
      </c>
      <c r="O28" s="44">
        <v>0.5</v>
      </c>
      <c r="P28" s="44">
        <f t="shared" si="0"/>
        <v>4.9654999999999996</v>
      </c>
      <c r="Q28" s="54">
        <f>P28*L28/100/21.7</f>
        <v>4.5764976958525341E-3</v>
      </c>
      <c r="R28" s="50">
        <v>4.9654999999999996</v>
      </c>
      <c r="S28" s="54">
        <f>R28*L28/100</f>
        <v>9.9309999999999996E-2</v>
      </c>
    </row>
    <row r="29" spans="1:21" s="1" customFormat="1" ht="19.7" customHeight="1" x14ac:dyDescent="0.2">
      <c r="A29" s="3">
        <v>107926</v>
      </c>
      <c r="B29" s="4" t="s">
        <v>0</v>
      </c>
      <c r="C29" s="5">
        <v>1598</v>
      </c>
      <c r="D29" s="4" t="s">
        <v>37</v>
      </c>
      <c r="E29" s="4" t="s">
        <v>38</v>
      </c>
      <c r="F29" s="4" t="s">
        <v>36</v>
      </c>
      <c r="G29" s="4" t="s">
        <v>45</v>
      </c>
      <c r="H29" s="6">
        <v>40662</v>
      </c>
      <c r="I29" s="4" t="s">
        <v>46</v>
      </c>
      <c r="J29" s="32">
        <v>1330207</v>
      </c>
      <c r="K29" s="4" t="s">
        <v>27</v>
      </c>
      <c r="L29" s="2">
        <v>12</v>
      </c>
      <c r="M29" s="16" t="s">
        <v>20</v>
      </c>
      <c r="N29" s="7">
        <v>0.5</v>
      </c>
      <c r="O29" s="44">
        <v>0.5</v>
      </c>
      <c r="P29" s="44">
        <f t="shared" si="0"/>
        <v>4.9654999999999996</v>
      </c>
      <c r="Q29" s="54">
        <f>P29*L29/100/21.7</f>
        <v>2.7458986175115205E-2</v>
      </c>
      <c r="R29" s="50">
        <v>4.9654999999999996</v>
      </c>
      <c r="S29" s="54">
        <f>R29*L29/100</f>
        <v>0.59585999999999995</v>
      </c>
    </row>
    <row r="30" spans="1:21" s="1" customFormat="1" ht="19.7" customHeight="1" x14ac:dyDescent="0.2">
      <c r="A30" s="3">
        <v>107926</v>
      </c>
      <c r="B30" s="4" t="s">
        <v>0</v>
      </c>
      <c r="C30" s="5">
        <v>1598</v>
      </c>
      <c r="D30" s="4" t="s">
        <v>37</v>
      </c>
      <c r="E30" s="4" t="s">
        <v>38</v>
      </c>
      <c r="F30" s="4" t="s">
        <v>36</v>
      </c>
      <c r="G30" s="4" t="s">
        <v>48</v>
      </c>
      <c r="H30" s="6">
        <v>40662</v>
      </c>
      <c r="I30" s="4" t="s">
        <v>49</v>
      </c>
      <c r="J30" s="32">
        <v>822060</v>
      </c>
      <c r="K30" s="4" t="s">
        <v>50</v>
      </c>
      <c r="L30" s="2">
        <v>0.1</v>
      </c>
      <c r="M30" s="16" t="s">
        <v>20</v>
      </c>
      <c r="N30" s="7">
        <v>0.25</v>
      </c>
      <c r="O30" s="44">
        <v>0.25</v>
      </c>
      <c r="P30" s="44">
        <f t="shared" si="0"/>
        <v>2.5870000000000002</v>
      </c>
      <c r="Q30" s="54">
        <f>P30*L30/100/21.7*0.1075</f>
        <v>1.2815783410138251E-5</v>
      </c>
      <c r="R30" s="50">
        <v>2.5870000000000002</v>
      </c>
      <c r="S30" s="54">
        <f>R30*L30/100*0.1075</f>
        <v>2.7810250000000002E-4</v>
      </c>
      <c r="U30" s="1" t="s">
        <v>205</v>
      </c>
    </row>
    <row r="31" spans="1:21" s="1" customFormat="1" ht="19.7" customHeight="1" x14ac:dyDescent="0.2">
      <c r="A31" s="18">
        <v>107926</v>
      </c>
      <c r="B31" s="19" t="s">
        <v>0</v>
      </c>
      <c r="C31" s="20">
        <v>1598</v>
      </c>
      <c r="D31" s="19" t="s">
        <v>37</v>
      </c>
      <c r="E31" s="19" t="s">
        <v>38</v>
      </c>
      <c r="F31" s="19" t="s">
        <v>36</v>
      </c>
      <c r="G31" s="19" t="s">
        <v>48</v>
      </c>
      <c r="H31" s="21">
        <v>40662</v>
      </c>
      <c r="I31" s="19" t="s">
        <v>49</v>
      </c>
      <c r="J31" s="33">
        <v>1221</v>
      </c>
      <c r="K31" s="19" t="s">
        <v>136</v>
      </c>
      <c r="L31" s="22">
        <v>57</v>
      </c>
      <c r="M31" s="23" t="s">
        <v>20</v>
      </c>
      <c r="N31" s="24">
        <v>0.25</v>
      </c>
      <c r="O31" s="45">
        <v>0.25</v>
      </c>
      <c r="P31" s="45">
        <f t="shared" si="0"/>
        <v>2.5870000000000002</v>
      </c>
      <c r="Q31" s="55">
        <f>P31*L31/100/21.7*0.1075</f>
        <v>7.3049965437788026E-3</v>
      </c>
      <c r="R31" s="51">
        <v>2.5870000000000002</v>
      </c>
      <c r="S31" s="55">
        <f>R31*L31/100*0.1075</f>
        <v>0.15851842500000002</v>
      </c>
      <c r="U31" s="1" t="s">
        <v>205</v>
      </c>
    </row>
    <row r="32" spans="1:21" s="1" customFormat="1" ht="19.7" customHeight="1" x14ac:dyDescent="0.2">
      <c r="A32" s="3">
        <v>107926</v>
      </c>
      <c r="B32" s="4" t="s">
        <v>0</v>
      </c>
      <c r="C32" s="5">
        <v>1598</v>
      </c>
      <c r="D32" s="4" t="s">
        <v>37</v>
      </c>
      <c r="E32" s="4" t="s">
        <v>38</v>
      </c>
      <c r="F32" s="4" t="s">
        <v>36</v>
      </c>
      <c r="G32" s="4" t="s">
        <v>51</v>
      </c>
      <c r="H32" s="6">
        <v>40662</v>
      </c>
      <c r="I32" s="4" t="s">
        <v>52</v>
      </c>
      <c r="J32" s="32">
        <v>111762</v>
      </c>
      <c r="K32" s="4" t="s">
        <v>32</v>
      </c>
      <c r="L32" s="2">
        <v>38</v>
      </c>
      <c r="M32" s="16" t="s">
        <v>20</v>
      </c>
      <c r="N32" s="7">
        <v>0.06</v>
      </c>
      <c r="O32" s="44">
        <v>0.06</v>
      </c>
      <c r="P32" s="44">
        <f t="shared" si="0"/>
        <v>0.44562000000000002</v>
      </c>
      <c r="Q32" s="54">
        <f>P32*L32/100/21.7</f>
        <v>7.8034838709677423E-3</v>
      </c>
      <c r="R32" s="50">
        <v>0.44562000000000002</v>
      </c>
      <c r="S32" s="54">
        <f>R32*L32/100</f>
        <v>0.1693356</v>
      </c>
    </row>
    <row r="33" spans="1:21" s="1" customFormat="1" ht="19.7" customHeight="1" x14ac:dyDescent="0.2">
      <c r="A33" s="3">
        <v>107926</v>
      </c>
      <c r="B33" s="4" t="s">
        <v>0</v>
      </c>
      <c r="C33" s="5">
        <v>1598</v>
      </c>
      <c r="D33" s="4" t="s">
        <v>37</v>
      </c>
      <c r="E33" s="4" t="s">
        <v>38</v>
      </c>
      <c r="F33" s="4" t="s">
        <v>36</v>
      </c>
      <c r="G33" s="4" t="s">
        <v>51</v>
      </c>
      <c r="H33" s="6">
        <v>40662</v>
      </c>
      <c r="I33" s="4" t="s">
        <v>52</v>
      </c>
      <c r="J33" s="32">
        <v>136527</v>
      </c>
      <c r="K33" s="4" t="s">
        <v>53</v>
      </c>
      <c r="L33" s="2">
        <v>0.9</v>
      </c>
      <c r="M33" s="16" t="s">
        <v>29</v>
      </c>
      <c r="N33" s="7">
        <v>0.06</v>
      </c>
      <c r="O33" s="44">
        <v>0.06</v>
      </c>
      <c r="P33" s="44">
        <f t="shared" si="0"/>
        <v>0.44562000000000002</v>
      </c>
      <c r="Q33" s="54">
        <f>P33*L33/100*(1-0.65)*(1-F33/100)/21.7</f>
        <v>1.9406032258064519E-5</v>
      </c>
      <c r="R33" s="50">
        <v>0.44562000000000002</v>
      </c>
      <c r="S33" s="54">
        <f>R33*L33/100*(1-0.65)*(1-F33/100)</f>
        <v>4.2111090000000007E-4</v>
      </c>
    </row>
    <row r="34" spans="1:21" s="1" customFormat="1" ht="19.7" customHeight="1" x14ac:dyDescent="0.2">
      <c r="A34" s="3">
        <v>107926</v>
      </c>
      <c r="B34" s="4" t="s">
        <v>0</v>
      </c>
      <c r="C34" s="5">
        <v>1598</v>
      </c>
      <c r="D34" s="4" t="s">
        <v>37</v>
      </c>
      <c r="E34" s="4" t="s">
        <v>38</v>
      </c>
      <c r="F34" s="4" t="s">
        <v>36</v>
      </c>
      <c r="G34" s="4" t="s">
        <v>51</v>
      </c>
      <c r="H34" s="6">
        <v>40662</v>
      </c>
      <c r="I34" s="4" t="s">
        <v>52</v>
      </c>
      <c r="J34" s="32">
        <v>540885</v>
      </c>
      <c r="K34" s="4" t="s">
        <v>23</v>
      </c>
      <c r="L34" s="2">
        <v>17</v>
      </c>
      <c r="M34" s="16" t="s">
        <v>20</v>
      </c>
      <c r="N34" s="7">
        <v>0.06</v>
      </c>
      <c r="O34" s="44">
        <v>0.06</v>
      </c>
      <c r="P34" s="44">
        <f t="shared" si="0"/>
        <v>0.44562000000000002</v>
      </c>
      <c r="Q34" s="54">
        <f>P34*L34/100/21.7</f>
        <v>3.4910322580645162E-3</v>
      </c>
      <c r="R34" s="50">
        <v>0.44562000000000002</v>
      </c>
      <c r="S34" s="54">
        <f>R34*L34/100</f>
        <v>7.5755400000000001E-2</v>
      </c>
    </row>
    <row r="35" spans="1:21" s="1" customFormat="1" ht="19.7" customHeight="1" x14ac:dyDescent="0.2">
      <c r="A35" s="3">
        <v>107926</v>
      </c>
      <c r="B35" s="4" t="s">
        <v>0</v>
      </c>
      <c r="C35" s="5">
        <v>1598</v>
      </c>
      <c r="D35" s="4" t="s">
        <v>37</v>
      </c>
      <c r="E35" s="4" t="s">
        <v>38</v>
      </c>
      <c r="F35" s="4" t="s">
        <v>36</v>
      </c>
      <c r="G35" s="4" t="s">
        <v>54</v>
      </c>
      <c r="H35" s="6">
        <v>41032</v>
      </c>
      <c r="I35" s="4" t="s">
        <v>55</v>
      </c>
      <c r="J35" s="32">
        <v>100414</v>
      </c>
      <c r="K35" s="4" t="s">
        <v>47</v>
      </c>
      <c r="L35" s="2">
        <v>0.08</v>
      </c>
      <c r="M35" s="16" t="s">
        <v>20</v>
      </c>
      <c r="N35" s="7">
        <v>1.71</v>
      </c>
      <c r="O35" s="46">
        <f>N35/2*1</f>
        <v>0.85499999999999998</v>
      </c>
      <c r="P35" s="44">
        <f t="shared" si="0"/>
        <v>7.8001649999999998</v>
      </c>
      <c r="Q35" s="54">
        <f>P35*L35/100/21.7</f>
        <v>2.8756368663594473E-4</v>
      </c>
      <c r="R35" s="50">
        <v>15.60033</v>
      </c>
      <c r="S35" s="54">
        <f>R35*L35/100</f>
        <v>1.2480264000000001E-2</v>
      </c>
    </row>
    <row r="36" spans="1:21" s="1" customFormat="1" ht="19.7" customHeight="1" x14ac:dyDescent="0.2">
      <c r="A36" s="3">
        <v>107926</v>
      </c>
      <c r="B36" s="4" t="s">
        <v>0</v>
      </c>
      <c r="C36" s="5">
        <v>1598</v>
      </c>
      <c r="D36" s="4" t="s">
        <v>37</v>
      </c>
      <c r="E36" s="4" t="s">
        <v>38</v>
      </c>
      <c r="F36" s="4" t="s">
        <v>36</v>
      </c>
      <c r="G36" s="4" t="s">
        <v>56</v>
      </c>
      <c r="H36" s="6">
        <v>42322</v>
      </c>
      <c r="I36" s="4" t="s">
        <v>57</v>
      </c>
      <c r="J36" s="32">
        <v>100414</v>
      </c>
      <c r="K36" s="4" t="s">
        <v>47</v>
      </c>
      <c r="L36" s="2">
        <v>1</v>
      </c>
      <c r="M36" s="16" t="s">
        <v>20</v>
      </c>
      <c r="N36" s="7">
        <v>2.4500000000000002</v>
      </c>
      <c r="O36" s="44">
        <v>1</v>
      </c>
      <c r="P36" s="44">
        <f t="shared" ref="P36:P67" si="3">O36/N36*R36</f>
        <v>12.350999999999999</v>
      </c>
      <c r="Q36" s="54">
        <f>P36*L36/100/21.7</f>
        <v>5.6917050691244241E-3</v>
      </c>
      <c r="R36" s="50">
        <v>30.25995</v>
      </c>
      <c r="S36" s="54">
        <f>R36*L36/100</f>
        <v>0.30259950000000002</v>
      </c>
    </row>
    <row r="37" spans="1:21" s="1" customFormat="1" ht="19.7" customHeight="1" x14ac:dyDescent="0.2">
      <c r="A37" s="3">
        <v>107926</v>
      </c>
      <c r="B37" s="4" t="s">
        <v>0</v>
      </c>
      <c r="C37" s="5">
        <v>1598</v>
      </c>
      <c r="D37" s="4" t="s">
        <v>37</v>
      </c>
      <c r="E37" s="4" t="s">
        <v>38</v>
      </c>
      <c r="F37" s="4" t="s">
        <v>36</v>
      </c>
      <c r="G37" s="4" t="s">
        <v>56</v>
      </c>
      <c r="H37" s="6">
        <v>42322</v>
      </c>
      <c r="I37" s="4" t="s">
        <v>57</v>
      </c>
      <c r="J37" s="32">
        <v>1314132</v>
      </c>
      <c r="K37" s="4" t="s">
        <v>41</v>
      </c>
      <c r="L37" s="2">
        <v>3</v>
      </c>
      <c r="M37" s="16" t="s">
        <v>29</v>
      </c>
      <c r="N37" s="7">
        <v>2.4500000000000002</v>
      </c>
      <c r="O37" s="44">
        <v>1</v>
      </c>
      <c r="P37" s="44">
        <f t="shared" si="3"/>
        <v>12.350999999999999</v>
      </c>
      <c r="Q37" s="54">
        <f>P37*L37/100*(1-0.65)*(1-F37/100)/21.7</f>
        <v>1.7928870967741936E-3</v>
      </c>
      <c r="R37" s="50">
        <v>30.25995</v>
      </c>
      <c r="S37" s="54">
        <f>R37*L37/100*(1-0.65)*(1-F37/100)</f>
        <v>9.5318842500000014E-2</v>
      </c>
    </row>
    <row r="38" spans="1:21" s="1" customFormat="1" ht="19.7" customHeight="1" x14ac:dyDescent="0.2">
      <c r="A38" s="3">
        <v>107926</v>
      </c>
      <c r="B38" s="4" t="s">
        <v>0</v>
      </c>
      <c r="C38" s="5">
        <v>1598</v>
      </c>
      <c r="D38" s="4" t="s">
        <v>37</v>
      </c>
      <c r="E38" s="4" t="s">
        <v>38</v>
      </c>
      <c r="F38" s="4" t="s">
        <v>36</v>
      </c>
      <c r="G38" s="4" t="s">
        <v>56</v>
      </c>
      <c r="H38" s="6">
        <v>42322</v>
      </c>
      <c r="I38" s="4" t="s">
        <v>57</v>
      </c>
      <c r="J38" s="32">
        <v>1330207</v>
      </c>
      <c r="K38" s="4" t="s">
        <v>27</v>
      </c>
      <c r="L38" s="2">
        <v>3</v>
      </c>
      <c r="M38" s="16" t="s">
        <v>20</v>
      </c>
      <c r="N38" s="7">
        <v>2.4500000000000002</v>
      </c>
      <c r="O38" s="44">
        <v>1</v>
      </c>
      <c r="P38" s="44">
        <f t="shared" si="3"/>
        <v>12.350999999999999</v>
      </c>
      <c r="Q38" s="54">
        <f>P38*L38/100/21.7</f>
        <v>1.707511520737327E-2</v>
      </c>
      <c r="R38" s="50">
        <v>30.25995</v>
      </c>
      <c r="S38" s="54">
        <f>R38*L38/100</f>
        <v>0.90779849999999995</v>
      </c>
    </row>
    <row r="39" spans="1:21" s="1" customFormat="1" ht="19.7" customHeight="1" x14ac:dyDescent="0.2">
      <c r="A39" s="18">
        <v>107926</v>
      </c>
      <c r="B39" s="19" t="s">
        <v>0</v>
      </c>
      <c r="C39" s="20">
        <v>1598</v>
      </c>
      <c r="D39" s="19" t="s">
        <v>37</v>
      </c>
      <c r="E39" s="19" t="s">
        <v>38</v>
      </c>
      <c r="F39" s="19" t="s">
        <v>36</v>
      </c>
      <c r="G39" s="19" t="s">
        <v>115</v>
      </c>
      <c r="H39" s="21">
        <v>42878</v>
      </c>
      <c r="I39" s="19" t="s">
        <v>117</v>
      </c>
      <c r="J39" s="33">
        <v>1221</v>
      </c>
      <c r="K39" s="19" t="s">
        <v>136</v>
      </c>
      <c r="L39" s="22">
        <v>90</v>
      </c>
      <c r="M39" s="23" t="s">
        <v>20</v>
      </c>
      <c r="N39" s="24">
        <v>0.28999999999999998</v>
      </c>
      <c r="O39" s="45">
        <f>N39/2*1</f>
        <v>0.14499999999999999</v>
      </c>
      <c r="P39" s="45">
        <f t="shared" si="3"/>
        <v>1.3572724999999999</v>
      </c>
      <c r="Q39" s="55">
        <f>P39*L39/100/21.7*0.1075</f>
        <v>6.0514338421658979E-3</v>
      </c>
      <c r="R39" s="51">
        <f>N39*9.3605</f>
        <v>2.7145449999999998</v>
      </c>
      <c r="S39" s="55">
        <f>R39*L39/100*0.1075</f>
        <v>0.26263222874999997</v>
      </c>
      <c r="U39" s="1" t="s">
        <v>205</v>
      </c>
    </row>
    <row r="40" spans="1:21" s="43" customFormat="1" ht="19.7" customHeight="1" x14ac:dyDescent="0.2">
      <c r="A40" s="36">
        <v>107926</v>
      </c>
      <c r="B40" s="35" t="s">
        <v>0</v>
      </c>
      <c r="C40" s="37">
        <v>1598</v>
      </c>
      <c r="D40" s="35" t="s">
        <v>37</v>
      </c>
      <c r="E40" s="35" t="s">
        <v>38</v>
      </c>
      <c r="F40" s="35" t="s">
        <v>36</v>
      </c>
      <c r="G40" s="35" t="s">
        <v>115</v>
      </c>
      <c r="H40" s="38">
        <v>42878</v>
      </c>
      <c r="I40" s="35" t="s">
        <v>117</v>
      </c>
      <c r="J40" s="39">
        <v>822060</v>
      </c>
      <c r="K40" s="35" t="s">
        <v>50</v>
      </c>
      <c r="L40" s="40">
        <v>1</v>
      </c>
      <c r="M40" s="41" t="s">
        <v>20</v>
      </c>
      <c r="N40" s="42">
        <v>0.28999999999999998</v>
      </c>
      <c r="O40" s="46">
        <f>N40/2*1</f>
        <v>0.14499999999999999</v>
      </c>
      <c r="P40" s="44">
        <f t="shared" si="3"/>
        <v>1.3572724999999999</v>
      </c>
      <c r="Q40" s="56">
        <f>P40*L40/100/21.7*0.1075</f>
        <v>6.7238153801843313E-5</v>
      </c>
      <c r="R40" s="52">
        <f>N40*9.3605</f>
        <v>2.7145449999999998</v>
      </c>
      <c r="S40" s="56">
        <f>R40*L40/100*0.1075</f>
        <v>2.9181358749999996E-3</v>
      </c>
      <c r="U40" s="1" t="s">
        <v>205</v>
      </c>
    </row>
    <row r="41" spans="1:21" s="1" customFormat="1" ht="19.7" customHeight="1" x14ac:dyDescent="0.2">
      <c r="A41" s="3">
        <v>108716</v>
      </c>
      <c r="B41" s="4" t="s">
        <v>0</v>
      </c>
      <c r="C41" s="5">
        <v>1600</v>
      </c>
      <c r="D41" s="4" t="s">
        <v>58</v>
      </c>
      <c r="E41" s="4" t="s">
        <v>59</v>
      </c>
      <c r="F41" s="4" t="s">
        <v>36</v>
      </c>
      <c r="G41" s="4" t="s">
        <v>60</v>
      </c>
      <c r="H41" s="6">
        <v>39252</v>
      </c>
      <c r="I41" s="4" t="s">
        <v>121</v>
      </c>
      <c r="J41" s="32">
        <v>1330207</v>
      </c>
      <c r="K41" s="4" t="s">
        <v>27</v>
      </c>
      <c r="L41" s="2">
        <v>5</v>
      </c>
      <c r="M41" s="16" t="s">
        <v>20</v>
      </c>
      <c r="N41" s="7">
        <v>0.75</v>
      </c>
      <c r="O41" s="44">
        <v>0.5</v>
      </c>
      <c r="P41" s="44">
        <f t="shared" si="3"/>
        <v>4.2099999999999991</v>
      </c>
      <c r="Q41" s="54">
        <f>P41*L41/100/21.7</f>
        <v>9.7004608294930864E-3</v>
      </c>
      <c r="R41" s="52">
        <f>N41*8.42</f>
        <v>6.3149999999999995</v>
      </c>
      <c r="S41" s="54">
        <f>R41*L41/100</f>
        <v>0.31574999999999998</v>
      </c>
    </row>
    <row r="42" spans="1:21" s="1" customFormat="1" ht="19.7" customHeight="1" x14ac:dyDescent="0.2">
      <c r="A42" s="18">
        <v>108716</v>
      </c>
      <c r="B42" s="19" t="s">
        <v>0</v>
      </c>
      <c r="C42" s="20">
        <v>1600</v>
      </c>
      <c r="D42" s="19" t="s">
        <v>58</v>
      </c>
      <c r="E42" s="19" t="s">
        <v>59</v>
      </c>
      <c r="F42" s="19" t="s">
        <v>36</v>
      </c>
      <c r="G42" s="19" t="s">
        <v>60</v>
      </c>
      <c r="H42" s="21">
        <v>39252</v>
      </c>
      <c r="I42" s="19" t="s">
        <v>117</v>
      </c>
      <c r="J42" s="33">
        <v>1221</v>
      </c>
      <c r="K42" s="19" t="s">
        <v>136</v>
      </c>
      <c r="L42" s="22">
        <v>90</v>
      </c>
      <c r="M42" s="23" t="s">
        <v>20</v>
      </c>
      <c r="N42" s="24">
        <v>0.75</v>
      </c>
      <c r="O42" s="45">
        <v>0.5</v>
      </c>
      <c r="P42" s="45">
        <f t="shared" si="3"/>
        <v>4.68</v>
      </c>
      <c r="Q42" s="55">
        <f>P42*L42/100/21.7*0.1075</f>
        <v>2.0865898617511518E-2</v>
      </c>
      <c r="R42" s="51">
        <f>N42*9.36</f>
        <v>7.02</v>
      </c>
      <c r="S42" s="55">
        <f>R42*L42/100*0.1075</f>
        <v>0.67918499999999993</v>
      </c>
      <c r="U42" s="1" t="s">
        <v>205</v>
      </c>
    </row>
    <row r="43" spans="1:21" s="1" customFormat="1" ht="19.7" customHeight="1" x14ac:dyDescent="0.2">
      <c r="A43" s="3">
        <v>108716</v>
      </c>
      <c r="B43" s="4" t="s">
        <v>0</v>
      </c>
      <c r="C43" s="5">
        <v>1600</v>
      </c>
      <c r="D43" s="4" t="s">
        <v>58</v>
      </c>
      <c r="E43" s="4" t="s">
        <v>59</v>
      </c>
      <c r="F43" s="4" t="s">
        <v>36</v>
      </c>
      <c r="G43" s="4" t="s">
        <v>60</v>
      </c>
      <c r="H43" s="6">
        <v>39252</v>
      </c>
      <c r="I43" s="35" t="s">
        <v>117</v>
      </c>
      <c r="J43" s="32">
        <v>822060</v>
      </c>
      <c r="K43" s="4" t="s">
        <v>138</v>
      </c>
      <c r="L43" s="2">
        <v>1</v>
      </c>
      <c r="M43" s="16" t="s">
        <v>20</v>
      </c>
      <c r="N43" s="7">
        <v>0.75</v>
      </c>
      <c r="O43" s="44">
        <v>0.5</v>
      </c>
      <c r="P43" s="44">
        <f t="shared" si="3"/>
        <v>4.68</v>
      </c>
      <c r="Q43" s="54">
        <f>P43*L43/100/21.7*0.1075</f>
        <v>2.3184331797235019E-4</v>
      </c>
      <c r="R43" s="52">
        <f>N43*9.36</f>
        <v>7.02</v>
      </c>
      <c r="S43" s="54">
        <f>R43*L43/100*0.1075</f>
        <v>7.5464999999999994E-3</v>
      </c>
      <c r="U43" s="1" t="s">
        <v>205</v>
      </c>
    </row>
    <row r="44" spans="1:21" s="1" customFormat="1" ht="19.7" customHeight="1" x14ac:dyDescent="0.2">
      <c r="A44" s="3">
        <v>105647</v>
      </c>
      <c r="B44" s="4" t="s">
        <v>0</v>
      </c>
      <c r="C44" s="5">
        <v>1603</v>
      </c>
      <c r="D44" s="4" t="s">
        <v>65</v>
      </c>
      <c r="E44" s="4" t="s">
        <v>66</v>
      </c>
      <c r="F44" s="4" t="s">
        <v>36</v>
      </c>
      <c r="G44" s="4" t="s">
        <v>67</v>
      </c>
      <c r="H44" s="6">
        <v>41814</v>
      </c>
      <c r="I44" s="4" t="s">
        <v>68</v>
      </c>
      <c r="J44" s="32">
        <v>108883</v>
      </c>
      <c r="K44" s="4" t="s">
        <v>63</v>
      </c>
      <c r="L44" s="2">
        <v>25</v>
      </c>
      <c r="M44" s="16" t="s">
        <v>20</v>
      </c>
      <c r="N44" s="7">
        <v>0.5</v>
      </c>
      <c r="O44" s="44">
        <v>0.25</v>
      </c>
      <c r="P44" s="44">
        <f t="shared" si="3"/>
        <v>1.6919999999999999</v>
      </c>
      <c r="Q44" s="54">
        <f t="shared" ref="Q44:Q61" si="4">P44*L44/100/21.7</f>
        <v>1.9493087557603688E-2</v>
      </c>
      <c r="R44" s="50">
        <v>3.3839999999999999</v>
      </c>
      <c r="S44" s="54">
        <f t="shared" ref="S44:S61" si="5">R44*L44/100</f>
        <v>0.84599999999999997</v>
      </c>
    </row>
    <row r="45" spans="1:21" s="1" customFormat="1" ht="19.7" customHeight="1" x14ac:dyDescent="0.2">
      <c r="A45" s="3">
        <v>105647</v>
      </c>
      <c r="B45" s="4" t="s">
        <v>0</v>
      </c>
      <c r="C45" s="5">
        <v>1603</v>
      </c>
      <c r="D45" s="4" t="s">
        <v>65</v>
      </c>
      <c r="E45" s="4" t="s">
        <v>66</v>
      </c>
      <c r="F45" s="4" t="s">
        <v>36</v>
      </c>
      <c r="G45" s="4" t="s">
        <v>69</v>
      </c>
      <c r="H45" s="6">
        <v>40914</v>
      </c>
      <c r="I45" s="4" t="s">
        <v>70</v>
      </c>
      <c r="J45" s="32">
        <v>108656</v>
      </c>
      <c r="K45" s="4" t="s">
        <v>62</v>
      </c>
      <c r="L45" s="2">
        <v>3</v>
      </c>
      <c r="M45" s="16" t="s">
        <v>20</v>
      </c>
      <c r="N45" s="7">
        <v>0.31</v>
      </c>
      <c r="O45" s="44">
        <v>0.25</v>
      </c>
      <c r="P45" s="44">
        <f t="shared" si="3"/>
        <v>1.5605</v>
      </c>
      <c r="Q45" s="54">
        <f t="shared" si="4"/>
        <v>2.1573732718894009E-3</v>
      </c>
      <c r="R45" s="50">
        <v>1.93502</v>
      </c>
      <c r="S45" s="54">
        <f t="shared" si="5"/>
        <v>5.8050600000000001E-2</v>
      </c>
    </row>
    <row r="46" spans="1:21" s="1" customFormat="1" ht="19.7" customHeight="1" x14ac:dyDescent="0.2">
      <c r="A46" s="3">
        <v>105647</v>
      </c>
      <c r="B46" s="4" t="s">
        <v>0</v>
      </c>
      <c r="C46" s="5">
        <v>1603</v>
      </c>
      <c r="D46" s="4" t="s">
        <v>65</v>
      </c>
      <c r="E46" s="4" t="s">
        <v>66</v>
      </c>
      <c r="F46" s="4" t="s">
        <v>36</v>
      </c>
      <c r="G46" s="4" t="s">
        <v>71</v>
      </c>
      <c r="H46" s="6">
        <v>39515</v>
      </c>
      <c r="I46" s="4" t="s">
        <v>72</v>
      </c>
      <c r="J46" s="32">
        <v>108101</v>
      </c>
      <c r="K46" s="4" t="s">
        <v>61</v>
      </c>
      <c r="L46" s="2">
        <v>5</v>
      </c>
      <c r="M46" s="16" t="s">
        <v>20</v>
      </c>
      <c r="N46" s="7">
        <v>0.38</v>
      </c>
      <c r="O46" s="44">
        <v>0.38</v>
      </c>
      <c r="P46" s="44">
        <f t="shared" si="3"/>
        <v>2.3658800000000002</v>
      </c>
      <c r="Q46" s="54">
        <f t="shared" si="4"/>
        <v>5.4513364055299544E-3</v>
      </c>
      <c r="R46" s="50">
        <v>2.3658800000000002</v>
      </c>
      <c r="S46" s="54">
        <f t="shared" si="5"/>
        <v>0.11829400000000001</v>
      </c>
    </row>
    <row r="47" spans="1:21" s="1" customFormat="1" ht="19.7" customHeight="1" x14ac:dyDescent="0.2">
      <c r="A47" s="3">
        <v>105647</v>
      </c>
      <c r="B47" s="4" t="s">
        <v>0</v>
      </c>
      <c r="C47" s="5">
        <v>1603</v>
      </c>
      <c r="D47" s="4" t="s">
        <v>65</v>
      </c>
      <c r="E47" s="4" t="s">
        <v>66</v>
      </c>
      <c r="F47" s="4" t="s">
        <v>36</v>
      </c>
      <c r="G47" s="4" t="s">
        <v>71</v>
      </c>
      <c r="H47" s="6">
        <v>39515</v>
      </c>
      <c r="I47" s="4" t="s">
        <v>72</v>
      </c>
      <c r="J47" s="32">
        <v>1330207</v>
      </c>
      <c r="K47" s="4" t="s">
        <v>27</v>
      </c>
      <c r="L47" s="2">
        <v>18.82</v>
      </c>
      <c r="M47" s="16" t="s">
        <v>20</v>
      </c>
      <c r="N47" s="7">
        <v>0.38</v>
      </c>
      <c r="O47" s="44">
        <v>0.38</v>
      </c>
      <c r="P47" s="44">
        <f t="shared" si="3"/>
        <v>2.3658800000000002</v>
      </c>
      <c r="Q47" s="54">
        <f t="shared" si="4"/>
        <v>2.0518830230414748E-2</v>
      </c>
      <c r="R47" s="50">
        <v>2.3658800000000002</v>
      </c>
      <c r="S47" s="54">
        <f t="shared" si="5"/>
        <v>0.44525861600000005</v>
      </c>
    </row>
    <row r="48" spans="1:21" s="1" customFormat="1" ht="19.7" customHeight="1" x14ac:dyDescent="0.2">
      <c r="A48" s="3">
        <v>107930</v>
      </c>
      <c r="B48" s="4" t="s">
        <v>0</v>
      </c>
      <c r="C48" s="5">
        <v>1604</v>
      </c>
      <c r="D48" s="4" t="s">
        <v>73</v>
      </c>
      <c r="E48" s="4" t="s">
        <v>74</v>
      </c>
      <c r="F48" s="4" t="s">
        <v>36</v>
      </c>
      <c r="G48" s="4" t="s">
        <v>75</v>
      </c>
      <c r="H48" s="6">
        <v>40662</v>
      </c>
      <c r="I48" s="4" t="s">
        <v>76</v>
      </c>
      <c r="J48" s="32">
        <v>112345</v>
      </c>
      <c r="K48" s="4" t="s">
        <v>33</v>
      </c>
      <c r="L48" s="2">
        <v>12</v>
      </c>
      <c r="M48" s="16" t="s">
        <v>20</v>
      </c>
      <c r="N48" s="7">
        <v>0.18</v>
      </c>
      <c r="O48" s="44">
        <v>0.09</v>
      </c>
      <c r="P48" s="44">
        <f t="shared" si="3"/>
        <v>0.74358000000000002</v>
      </c>
      <c r="Q48" s="54">
        <f t="shared" si="4"/>
        <v>4.1119631336405523E-3</v>
      </c>
      <c r="R48" s="50">
        <v>1.48716</v>
      </c>
      <c r="S48" s="54">
        <f t="shared" si="5"/>
        <v>0.17845919999999998</v>
      </c>
    </row>
    <row r="49" spans="1:19" s="1" customFormat="1" ht="19.7" customHeight="1" x14ac:dyDescent="0.2">
      <c r="A49" s="3">
        <v>107930</v>
      </c>
      <c r="B49" s="4" t="s">
        <v>0</v>
      </c>
      <c r="C49" s="5">
        <v>1604</v>
      </c>
      <c r="D49" s="4" t="s">
        <v>73</v>
      </c>
      <c r="E49" s="4" t="s">
        <v>74</v>
      </c>
      <c r="F49" s="4" t="s">
        <v>36</v>
      </c>
      <c r="G49" s="4" t="s">
        <v>75</v>
      </c>
      <c r="H49" s="6">
        <v>40662</v>
      </c>
      <c r="I49" s="4" t="s">
        <v>76</v>
      </c>
      <c r="J49" s="32">
        <v>34590948</v>
      </c>
      <c r="K49" s="4" t="s">
        <v>77</v>
      </c>
      <c r="L49" s="2">
        <v>2</v>
      </c>
      <c r="M49" s="16" t="s">
        <v>20</v>
      </c>
      <c r="N49" s="7">
        <v>0.18</v>
      </c>
      <c r="O49" s="44">
        <v>0.09</v>
      </c>
      <c r="P49" s="44">
        <f t="shared" si="3"/>
        <v>0.74358000000000002</v>
      </c>
      <c r="Q49" s="54">
        <f t="shared" si="4"/>
        <v>6.853271889400922E-4</v>
      </c>
      <c r="R49" s="50">
        <v>1.48716</v>
      </c>
      <c r="S49" s="54">
        <f t="shared" si="5"/>
        <v>2.9743200000000001E-2</v>
      </c>
    </row>
    <row r="50" spans="1:19" s="1" customFormat="1" ht="19.7" customHeight="1" x14ac:dyDescent="0.2">
      <c r="A50" s="3">
        <v>107930</v>
      </c>
      <c r="B50" s="4" t="s">
        <v>0</v>
      </c>
      <c r="C50" s="5">
        <v>1604</v>
      </c>
      <c r="D50" s="4" t="s">
        <v>73</v>
      </c>
      <c r="E50" s="4" t="s">
        <v>74</v>
      </c>
      <c r="F50" s="4" t="s">
        <v>36</v>
      </c>
      <c r="G50" s="4" t="s">
        <v>78</v>
      </c>
      <c r="H50" s="6">
        <v>42525</v>
      </c>
      <c r="I50" s="4" t="s">
        <v>79</v>
      </c>
      <c r="J50" s="32">
        <v>108101</v>
      </c>
      <c r="K50" s="4" t="s">
        <v>61</v>
      </c>
      <c r="L50" s="2">
        <v>0.19</v>
      </c>
      <c r="M50" s="16" t="s">
        <v>20</v>
      </c>
      <c r="N50" s="7">
        <v>0.62</v>
      </c>
      <c r="O50" s="44">
        <v>0.31</v>
      </c>
      <c r="P50" s="44">
        <f t="shared" si="3"/>
        <v>1.9920599999999999</v>
      </c>
      <c r="Q50" s="54">
        <f t="shared" si="4"/>
        <v>1.7442E-4</v>
      </c>
      <c r="R50" s="50">
        <v>3.9841199999999999</v>
      </c>
      <c r="S50" s="54">
        <f t="shared" si="5"/>
        <v>7.5698279999999998E-3</v>
      </c>
    </row>
    <row r="51" spans="1:19" s="1" customFormat="1" ht="19.7" customHeight="1" x14ac:dyDescent="0.2">
      <c r="A51" s="3">
        <v>107930</v>
      </c>
      <c r="B51" s="4" t="s">
        <v>0</v>
      </c>
      <c r="C51" s="5">
        <v>1604</v>
      </c>
      <c r="D51" s="4" t="s">
        <v>73</v>
      </c>
      <c r="E51" s="4" t="s">
        <v>74</v>
      </c>
      <c r="F51" s="4" t="s">
        <v>36</v>
      </c>
      <c r="G51" s="4" t="s">
        <v>78</v>
      </c>
      <c r="H51" s="6">
        <v>42525</v>
      </c>
      <c r="I51" s="4" t="s">
        <v>79</v>
      </c>
      <c r="J51" s="32">
        <v>108883</v>
      </c>
      <c r="K51" s="4" t="s">
        <v>63</v>
      </c>
      <c r="L51" s="2">
        <v>0.8</v>
      </c>
      <c r="M51" s="16" t="s">
        <v>20</v>
      </c>
      <c r="N51" s="7">
        <v>0.62</v>
      </c>
      <c r="O51" s="44">
        <v>0.31</v>
      </c>
      <c r="P51" s="44">
        <f t="shared" si="3"/>
        <v>1.9920599999999999</v>
      </c>
      <c r="Q51" s="54">
        <f t="shared" si="4"/>
        <v>7.3439999999999996E-4</v>
      </c>
      <c r="R51" s="50">
        <v>3.9841199999999999</v>
      </c>
      <c r="S51" s="54">
        <f t="shared" si="5"/>
        <v>3.1872959999999999E-2</v>
      </c>
    </row>
    <row r="52" spans="1:19" s="1" customFormat="1" ht="19.7" customHeight="1" x14ac:dyDescent="0.2">
      <c r="A52" s="3">
        <v>107930</v>
      </c>
      <c r="B52" s="4" t="s">
        <v>0</v>
      </c>
      <c r="C52" s="5">
        <v>1604</v>
      </c>
      <c r="D52" s="4" t="s">
        <v>73</v>
      </c>
      <c r="E52" s="4" t="s">
        <v>74</v>
      </c>
      <c r="F52" s="4" t="s">
        <v>36</v>
      </c>
      <c r="G52" s="4" t="s">
        <v>78</v>
      </c>
      <c r="H52" s="6">
        <v>42525</v>
      </c>
      <c r="I52" s="4" t="s">
        <v>79</v>
      </c>
      <c r="J52" s="32">
        <v>78933</v>
      </c>
      <c r="K52" s="4" t="s">
        <v>80</v>
      </c>
      <c r="L52" s="2">
        <v>9</v>
      </c>
      <c r="M52" s="16" t="s">
        <v>20</v>
      </c>
      <c r="N52" s="7">
        <v>0.62</v>
      </c>
      <c r="O52" s="44">
        <v>0.31</v>
      </c>
      <c r="P52" s="44">
        <f t="shared" si="3"/>
        <v>1.9920599999999999</v>
      </c>
      <c r="Q52" s="54">
        <f t="shared" si="4"/>
        <v>8.2620000000000002E-3</v>
      </c>
      <c r="R52" s="50">
        <v>3.9841199999999999</v>
      </c>
      <c r="S52" s="54">
        <f t="shared" si="5"/>
        <v>0.35857079999999997</v>
      </c>
    </row>
    <row r="53" spans="1:19" s="1" customFormat="1" ht="19.7" customHeight="1" x14ac:dyDescent="0.2">
      <c r="A53" s="3">
        <v>107930</v>
      </c>
      <c r="B53" s="4" t="s">
        <v>0</v>
      </c>
      <c r="C53" s="5">
        <v>1604</v>
      </c>
      <c r="D53" s="4" t="s">
        <v>73</v>
      </c>
      <c r="E53" s="4" t="s">
        <v>74</v>
      </c>
      <c r="F53" s="4" t="s">
        <v>36</v>
      </c>
      <c r="G53" s="4" t="s">
        <v>81</v>
      </c>
      <c r="H53" s="6">
        <v>42316</v>
      </c>
      <c r="I53" s="4" t="s">
        <v>82</v>
      </c>
      <c r="J53" s="32">
        <v>100414</v>
      </c>
      <c r="K53" s="4" t="s">
        <v>47</v>
      </c>
      <c r="L53" s="2">
        <v>1</v>
      </c>
      <c r="M53" s="16" t="s">
        <v>20</v>
      </c>
      <c r="N53" s="7">
        <v>4.68</v>
      </c>
      <c r="O53" s="44">
        <v>2</v>
      </c>
      <c r="P53" s="44">
        <f t="shared" si="3"/>
        <v>17.358000000000001</v>
      </c>
      <c r="Q53" s="54">
        <f t="shared" si="4"/>
        <v>7.9990783410138263E-3</v>
      </c>
      <c r="R53" s="50">
        <v>40.617719999999998</v>
      </c>
      <c r="S53" s="54">
        <f t="shared" si="5"/>
        <v>0.40617719999999996</v>
      </c>
    </row>
    <row r="54" spans="1:19" s="1" customFormat="1" ht="19.7" customHeight="1" x14ac:dyDescent="0.2">
      <c r="A54" s="3">
        <v>107930</v>
      </c>
      <c r="B54" s="4" t="s">
        <v>0</v>
      </c>
      <c r="C54" s="5">
        <v>1604</v>
      </c>
      <c r="D54" s="4" t="s">
        <v>73</v>
      </c>
      <c r="E54" s="4" t="s">
        <v>74</v>
      </c>
      <c r="F54" s="4" t="s">
        <v>36</v>
      </c>
      <c r="G54" s="4" t="s">
        <v>81</v>
      </c>
      <c r="H54" s="6">
        <v>42316</v>
      </c>
      <c r="I54" s="4" t="s">
        <v>82</v>
      </c>
      <c r="J54" s="32">
        <v>1330207</v>
      </c>
      <c r="K54" s="4" t="s">
        <v>27</v>
      </c>
      <c r="L54" s="2">
        <v>2.5</v>
      </c>
      <c r="M54" s="16" t="s">
        <v>20</v>
      </c>
      <c r="N54" s="7">
        <v>4.68</v>
      </c>
      <c r="O54" s="44">
        <v>2</v>
      </c>
      <c r="P54" s="44">
        <f t="shared" si="3"/>
        <v>17.358000000000001</v>
      </c>
      <c r="Q54" s="54">
        <f t="shared" si="4"/>
        <v>1.9997695852534567E-2</v>
      </c>
      <c r="R54" s="50">
        <v>40.617719999999998</v>
      </c>
      <c r="S54" s="54">
        <f t="shared" si="5"/>
        <v>1.0154429999999999</v>
      </c>
    </row>
    <row r="55" spans="1:19" s="1" customFormat="1" ht="19.7" customHeight="1" x14ac:dyDescent="0.2">
      <c r="A55" s="3">
        <v>107930</v>
      </c>
      <c r="B55" s="4" t="s">
        <v>0</v>
      </c>
      <c r="C55" s="5">
        <v>1604</v>
      </c>
      <c r="D55" s="4" t="s">
        <v>73</v>
      </c>
      <c r="E55" s="4" t="s">
        <v>74</v>
      </c>
      <c r="F55" s="4" t="s">
        <v>36</v>
      </c>
      <c r="G55" s="4" t="s">
        <v>81</v>
      </c>
      <c r="H55" s="6">
        <v>42316</v>
      </c>
      <c r="I55" s="4" t="s">
        <v>82</v>
      </c>
      <c r="J55" s="32">
        <v>85687</v>
      </c>
      <c r="K55" s="4" t="s">
        <v>35</v>
      </c>
      <c r="L55" s="2">
        <v>1.9</v>
      </c>
      <c r="M55" s="16" t="s">
        <v>20</v>
      </c>
      <c r="N55" s="7">
        <v>4.68</v>
      </c>
      <c r="O55" s="44">
        <v>2</v>
      </c>
      <c r="P55" s="44">
        <f t="shared" si="3"/>
        <v>17.358000000000001</v>
      </c>
      <c r="Q55" s="54">
        <f t="shared" si="4"/>
        <v>1.5198248847926267E-2</v>
      </c>
      <c r="R55" s="50">
        <v>40.617719999999998</v>
      </c>
      <c r="S55" s="54">
        <f t="shared" si="5"/>
        <v>0.77173667999999995</v>
      </c>
    </row>
    <row r="56" spans="1:19" s="1" customFormat="1" ht="19.7" customHeight="1" x14ac:dyDescent="0.2">
      <c r="A56" s="3">
        <v>107930</v>
      </c>
      <c r="B56" s="4" t="s">
        <v>0</v>
      </c>
      <c r="C56" s="5">
        <v>1604</v>
      </c>
      <c r="D56" s="4" t="s">
        <v>73</v>
      </c>
      <c r="E56" s="4" t="s">
        <v>74</v>
      </c>
      <c r="F56" s="4" t="s">
        <v>36</v>
      </c>
      <c r="G56" s="4" t="s">
        <v>83</v>
      </c>
      <c r="H56" s="6">
        <v>42299</v>
      </c>
      <c r="I56" s="4" t="s">
        <v>84</v>
      </c>
      <c r="J56" s="32">
        <v>67630</v>
      </c>
      <c r="K56" s="4" t="s">
        <v>85</v>
      </c>
      <c r="L56" s="2">
        <v>4</v>
      </c>
      <c r="M56" s="16" t="s">
        <v>20</v>
      </c>
      <c r="N56" s="7">
        <v>0.55000000000000004</v>
      </c>
      <c r="O56" s="44">
        <v>0.31</v>
      </c>
      <c r="P56" s="44">
        <f t="shared" si="3"/>
        <v>2.8715299999999995</v>
      </c>
      <c r="Q56" s="54">
        <f t="shared" si="4"/>
        <v>5.2931428571428565E-3</v>
      </c>
      <c r="R56" s="50">
        <v>5.0946499999999997</v>
      </c>
      <c r="S56" s="54">
        <f t="shared" si="5"/>
        <v>0.20378599999999999</v>
      </c>
    </row>
    <row r="57" spans="1:19" s="1" customFormat="1" ht="19.7" customHeight="1" x14ac:dyDescent="0.2">
      <c r="A57" s="3">
        <v>107930</v>
      </c>
      <c r="B57" s="4" t="s">
        <v>0</v>
      </c>
      <c r="C57" s="5">
        <v>1604</v>
      </c>
      <c r="D57" s="4" t="s">
        <v>73</v>
      </c>
      <c r="E57" s="4" t="s">
        <v>74</v>
      </c>
      <c r="F57" s="4" t="s">
        <v>36</v>
      </c>
      <c r="G57" s="4" t="s">
        <v>83</v>
      </c>
      <c r="H57" s="6">
        <v>42299</v>
      </c>
      <c r="I57" s="4" t="s">
        <v>84</v>
      </c>
      <c r="J57" s="32">
        <v>71363</v>
      </c>
      <c r="K57" s="4" t="s">
        <v>86</v>
      </c>
      <c r="L57" s="2">
        <v>2</v>
      </c>
      <c r="M57" s="16" t="s">
        <v>20</v>
      </c>
      <c r="N57" s="7">
        <v>0.55000000000000004</v>
      </c>
      <c r="O57" s="44">
        <v>0.31</v>
      </c>
      <c r="P57" s="44">
        <f t="shared" si="3"/>
        <v>2.8715299999999995</v>
      </c>
      <c r="Q57" s="54">
        <f t="shared" si="4"/>
        <v>2.6465714285714283E-3</v>
      </c>
      <c r="R57" s="50">
        <v>5.0946499999999997</v>
      </c>
      <c r="S57" s="54">
        <f t="shared" si="5"/>
        <v>0.101893</v>
      </c>
    </row>
    <row r="58" spans="1:19" s="1" customFormat="1" ht="19.7" customHeight="1" x14ac:dyDescent="0.2">
      <c r="A58" s="3">
        <v>107930</v>
      </c>
      <c r="B58" s="4" t="s">
        <v>0</v>
      </c>
      <c r="C58" s="5">
        <v>1604</v>
      </c>
      <c r="D58" s="4" t="s">
        <v>73</v>
      </c>
      <c r="E58" s="4" t="s">
        <v>74</v>
      </c>
      <c r="F58" s="4" t="s">
        <v>36</v>
      </c>
      <c r="G58" s="4" t="s">
        <v>87</v>
      </c>
      <c r="H58" s="6">
        <v>42565</v>
      </c>
      <c r="I58" s="4" t="s">
        <v>88</v>
      </c>
      <c r="J58" s="32">
        <v>108883</v>
      </c>
      <c r="K58" s="4" t="s">
        <v>63</v>
      </c>
      <c r="L58" s="2">
        <v>0.3</v>
      </c>
      <c r="M58" s="16" t="s">
        <v>20</v>
      </c>
      <c r="N58" s="7">
        <v>0.62</v>
      </c>
      <c r="O58" s="44">
        <v>0.31</v>
      </c>
      <c r="P58" s="44">
        <f t="shared" si="3"/>
        <v>2.7940299999999998</v>
      </c>
      <c r="Q58" s="54">
        <f t="shared" si="4"/>
        <v>3.862714285714285E-4</v>
      </c>
      <c r="R58" s="50">
        <v>5.5880599999999996</v>
      </c>
      <c r="S58" s="54">
        <f t="shared" si="5"/>
        <v>1.6764179999999997E-2</v>
      </c>
    </row>
    <row r="59" spans="1:19" s="1" customFormat="1" ht="19.7" customHeight="1" x14ac:dyDescent="0.2">
      <c r="A59" s="3">
        <v>113676</v>
      </c>
      <c r="B59" s="4" t="s">
        <v>0</v>
      </c>
      <c r="C59" s="5">
        <v>4096</v>
      </c>
      <c r="D59" s="4" t="s">
        <v>89</v>
      </c>
      <c r="E59" s="4" t="s">
        <v>90</v>
      </c>
      <c r="F59" s="4" t="s">
        <v>36</v>
      </c>
      <c r="G59" s="4" t="s">
        <v>91</v>
      </c>
      <c r="H59" s="6">
        <v>42807</v>
      </c>
      <c r="I59" s="4" t="s">
        <v>92</v>
      </c>
      <c r="J59" s="32">
        <v>107982</v>
      </c>
      <c r="K59" s="4" t="s">
        <v>43</v>
      </c>
      <c r="L59" s="2">
        <v>5</v>
      </c>
      <c r="M59" s="16" t="s">
        <v>20</v>
      </c>
      <c r="N59" s="7">
        <v>0.5</v>
      </c>
      <c r="O59" s="44">
        <v>0.5</v>
      </c>
      <c r="P59" s="44">
        <f t="shared" si="3"/>
        <v>6.843</v>
      </c>
      <c r="Q59" s="54">
        <f t="shared" si="4"/>
        <v>1.5767281105990783E-2</v>
      </c>
      <c r="R59" s="50">
        <v>6.843</v>
      </c>
      <c r="S59" s="54">
        <f t="shared" si="5"/>
        <v>0.34215000000000001</v>
      </c>
    </row>
    <row r="60" spans="1:19" s="1" customFormat="1" ht="19.7" customHeight="1" x14ac:dyDescent="0.2">
      <c r="A60" s="3">
        <v>113676</v>
      </c>
      <c r="B60" s="4" t="s">
        <v>0</v>
      </c>
      <c r="C60" s="5">
        <v>4096</v>
      </c>
      <c r="D60" s="4" t="s">
        <v>89</v>
      </c>
      <c r="E60" s="4" t="s">
        <v>90</v>
      </c>
      <c r="F60" s="4" t="s">
        <v>36</v>
      </c>
      <c r="G60" s="4" t="s">
        <v>91</v>
      </c>
      <c r="H60" s="6">
        <v>42807</v>
      </c>
      <c r="I60" s="4" t="s">
        <v>92</v>
      </c>
      <c r="J60" s="32">
        <v>111762</v>
      </c>
      <c r="K60" s="4" t="s">
        <v>32</v>
      </c>
      <c r="L60" s="2">
        <v>10</v>
      </c>
      <c r="M60" s="16" t="s">
        <v>20</v>
      </c>
      <c r="N60" s="7">
        <v>0.5</v>
      </c>
      <c r="O60" s="44">
        <v>0.5</v>
      </c>
      <c r="P60" s="44">
        <f t="shared" si="3"/>
        <v>6.843</v>
      </c>
      <c r="Q60" s="54">
        <f t="shared" si="4"/>
        <v>3.1534562211981566E-2</v>
      </c>
      <c r="R60" s="50">
        <v>6.843</v>
      </c>
      <c r="S60" s="54">
        <f t="shared" si="5"/>
        <v>0.68430000000000002</v>
      </c>
    </row>
    <row r="61" spans="1:19" s="1" customFormat="1" ht="19.7" customHeight="1" x14ac:dyDescent="0.2">
      <c r="A61" s="3">
        <v>113676</v>
      </c>
      <c r="B61" s="4" t="s">
        <v>0</v>
      </c>
      <c r="C61" s="5">
        <v>4096</v>
      </c>
      <c r="D61" s="4" t="s">
        <v>89</v>
      </c>
      <c r="E61" s="4" t="s">
        <v>90</v>
      </c>
      <c r="F61" s="4" t="s">
        <v>36</v>
      </c>
      <c r="G61" s="4" t="s">
        <v>91</v>
      </c>
      <c r="H61" s="6">
        <v>42807</v>
      </c>
      <c r="I61" s="4" t="s">
        <v>92</v>
      </c>
      <c r="J61" s="32">
        <v>67630</v>
      </c>
      <c r="K61" s="4" t="s">
        <v>85</v>
      </c>
      <c r="L61" s="2">
        <v>5</v>
      </c>
      <c r="M61" s="16" t="s">
        <v>20</v>
      </c>
      <c r="N61" s="7">
        <v>0.5</v>
      </c>
      <c r="O61" s="44">
        <v>0.5</v>
      </c>
      <c r="P61" s="44">
        <f t="shared" si="3"/>
        <v>6.843</v>
      </c>
      <c r="Q61" s="54">
        <f t="shared" si="4"/>
        <v>1.5767281105990783E-2</v>
      </c>
      <c r="R61" s="50">
        <v>6.843</v>
      </c>
      <c r="S61" s="54">
        <f t="shared" si="5"/>
        <v>0.34215000000000001</v>
      </c>
    </row>
    <row r="62" spans="1:19" s="1" customFormat="1" ht="19.7" customHeight="1" x14ac:dyDescent="0.2">
      <c r="A62" s="3">
        <v>113676</v>
      </c>
      <c r="B62" s="4" t="s">
        <v>0</v>
      </c>
      <c r="C62" s="5">
        <v>4096</v>
      </c>
      <c r="D62" s="4" t="s">
        <v>89</v>
      </c>
      <c r="E62" s="4" t="s">
        <v>90</v>
      </c>
      <c r="F62" s="4" t="s">
        <v>36</v>
      </c>
      <c r="G62" s="4" t="s">
        <v>91</v>
      </c>
      <c r="H62" s="6">
        <v>42807</v>
      </c>
      <c r="I62" s="4" t="s">
        <v>92</v>
      </c>
      <c r="J62" s="32">
        <v>7727437</v>
      </c>
      <c r="K62" s="4" t="s">
        <v>64</v>
      </c>
      <c r="L62" s="2">
        <v>10</v>
      </c>
      <c r="M62" s="16" t="s">
        <v>29</v>
      </c>
      <c r="N62" s="7">
        <v>0.5</v>
      </c>
      <c r="O62" s="44">
        <v>0.5</v>
      </c>
      <c r="P62" s="44">
        <f t="shared" si="3"/>
        <v>6.843</v>
      </c>
      <c r="Q62" s="54">
        <f>P62*L62/100*(1-0.65)*(1-F62/100)/21.7</f>
        <v>3.311129032258065E-3</v>
      </c>
      <c r="R62" s="50">
        <v>6.843</v>
      </c>
      <c r="S62" s="54">
        <f>R62*L62/100*(1-0.65)*(1-F62/100)</f>
        <v>7.1851500000000013E-2</v>
      </c>
    </row>
    <row r="63" spans="1:19" s="1" customFormat="1" ht="19.7" customHeight="1" x14ac:dyDescent="0.2">
      <c r="A63" s="3">
        <v>113676</v>
      </c>
      <c r="B63" s="4" t="s">
        <v>0</v>
      </c>
      <c r="C63" s="5">
        <v>4096</v>
      </c>
      <c r="D63" s="4" t="s">
        <v>89</v>
      </c>
      <c r="E63" s="4" t="s">
        <v>90</v>
      </c>
      <c r="F63" s="4" t="s">
        <v>36</v>
      </c>
      <c r="G63" s="4" t="s">
        <v>91</v>
      </c>
      <c r="H63" s="6">
        <v>42807</v>
      </c>
      <c r="I63" s="4" t="s">
        <v>92</v>
      </c>
      <c r="J63" s="32">
        <v>7779900</v>
      </c>
      <c r="K63" s="4" t="s">
        <v>93</v>
      </c>
      <c r="L63" s="2">
        <v>10</v>
      </c>
      <c r="M63" s="16" t="s">
        <v>29</v>
      </c>
      <c r="N63" s="7">
        <v>0.5</v>
      </c>
      <c r="O63" s="44">
        <v>0.5</v>
      </c>
      <c r="P63" s="44">
        <f t="shared" si="3"/>
        <v>6.843</v>
      </c>
      <c r="Q63" s="54">
        <f>P63*L63/100*(1-0.65)*(1-F63/100)/21.7</f>
        <v>3.311129032258065E-3</v>
      </c>
      <c r="R63" s="50">
        <v>6.843</v>
      </c>
      <c r="S63" s="54">
        <f>R63*L63/100*(1-0.65)*(1-F63/100)</f>
        <v>7.1851500000000013E-2</v>
      </c>
    </row>
    <row r="64" spans="1:19" s="1" customFormat="1" ht="19.7" customHeight="1" x14ac:dyDescent="0.2">
      <c r="A64" s="3">
        <v>113676</v>
      </c>
      <c r="B64" s="4" t="s">
        <v>0</v>
      </c>
      <c r="C64" s="5">
        <v>4096</v>
      </c>
      <c r="D64" s="4" t="s">
        <v>89</v>
      </c>
      <c r="E64" s="4" t="s">
        <v>90</v>
      </c>
      <c r="F64" s="4" t="s">
        <v>36</v>
      </c>
      <c r="G64" s="4" t="s">
        <v>91</v>
      </c>
      <c r="H64" s="6">
        <v>42807</v>
      </c>
      <c r="I64" s="4" t="s">
        <v>92</v>
      </c>
      <c r="J64" s="32">
        <v>78933</v>
      </c>
      <c r="K64" s="4" t="s">
        <v>80</v>
      </c>
      <c r="L64" s="2">
        <v>10</v>
      </c>
      <c r="M64" s="16" t="s">
        <v>20</v>
      </c>
      <c r="N64" s="7">
        <v>0.5</v>
      </c>
      <c r="O64" s="44">
        <v>0.5</v>
      </c>
      <c r="P64" s="44">
        <f t="shared" si="3"/>
        <v>6.843</v>
      </c>
      <c r="Q64" s="54">
        <f>P64*L64/100/21.7</f>
        <v>3.1534562211981566E-2</v>
      </c>
      <c r="R64" s="50">
        <v>6.843</v>
      </c>
      <c r="S64" s="54">
        <f>R64*L64/100</f>
        <v>0.68430000000000002</v>
      </c>
    </row>
    <row r="65" spans="1:21" s="1" customFormat="1" ht="19.7" customHeight="1" x14ac:dyDescent="0.2">
      <c r="A65" s="3">
        <v>384072</v>
      </c>
      <c r="B65" s="4" t="s">
        <v>0</v>
      </c>
      <c r="C65" s="5">
        <v>630176</v>
      </c>
      <c r="D65" s="4" t="s">
        <v>94</v>
      </c>
      <c r="E65" s="4" t="s">
        <v>95</v>
      </c>
      <c r="F65" s="4" t="s">
        <v>96</v>
      </c>
      <c r="G65" s="4" t="s">
        <v>97</v>
      </c>
      <c r="H65" s="6">
        <v>39301</v>
      </c>
      <c r="I65" s="4" t="s">
        <v>98</v>
      </c>
      <c r="J65" s="32">
        <v>540885</v>
      </c>
      <c r="K65" s="4" t="s">
        <v>23</v>
      </c>
      <c r="L65" s="2">
        <v>30</v>
      </c>
      <c r="M65" s="16" t="s">
        <v>20</v>
      </c>
      <c r="N65" s="7">
        <v>0.45</v>
      </c>
      <c r="O65" s="44">
        <v>0.45</v>
      </c>
      <c r="P65" s="44">
        <f t="shared" si="3"/>
        <v>5.0057999999999998</v>
      </c>
      <c r="Q65" s="54">
        <f>P65*L65/100/21.7</f>
        <v>6.9204608294930886E-2</v>
      </c>
      <c r="R65" s="50">
        <v>5.0057999999999998</v>
      </c>
      <c r="S65" s="54">
        <f>R65*L65/100</f>
        <v>1.5017400000000001</v>
      </c>
    </row>
    <row r="66" spans="1:21" s="1" customFormat="1" ht="19.7" customHeight="1" x14ac:dyDescent="0.2">
      <c r="A66" s="18">
        <v>384072</v>
      </c>
      <c r="B66" s="19" t="s">
        <v>0</v>
      </c>
      <c r="C66" s="20">
        <v>630176</v>
      </c>
      <c r="D66" s="19" t="s">
        <v>94</v>
      </c>
      <c r="E66" s="19" t="s">
        <v>95</v>
      </c>
      <c r="F66" s="19" t="s">
        <v>96</v>
      </c>
      <c r="G66" s="19" t="s">
        <v>97</v>
      </c>
      <c r="H66" s="21">
        <v>39301</v>
      </c>
      <c r="I66" s="19" t="s">
        <v>98</v>
      </c>
      <c r="J66" s="33">
        <v>1221</v>
      </c>
      <c r="K66" s="19" t="s">
        <v>136</v>
      </c>
      <c r="L66" s="22">
        <v>100</v>
      </c>
      <c r="M66" s="23" t="s">
        <v>20</v>
      </c>
      <c r="N66" s="24">
        <v>0.45</v>
      </c>
      <c r="O66" s="45">
        <v>0.45</v>
      </c>
      <c r="P66" s="45">
        <f t="shared" si="3"/>
        <v>5.0057999999999998</v>
      </c>
      <c r="Q66" s="55">
        <f>P66*L66/100/21.7*0.1075</f>
        <v>2.4798317972350228E-2</v>
      </c>
      <c r="R66" s="51">
        <v>5.0057999999999998</v>
      </c>
      <c r="S66" s="55">
        <f>R66*L66/100*0.1075</f>
        <v>0.53812349999999998</v>
      </c>
      <c r="U66" s="1" t="s">
        <v>205</v>
      </c>
    </row>
    <row r="67" spans="1:21" s="1" customFormat="1" ht="19.7" customHeight="1" x14ac:dyDescent="0.2">
      <c r="A67" s="3">
        <v>384072</v>
      </c>
      <c r="B67" s="4" t="s">
        <v>0</v>
      </c>
      <c r="C67" s="5">
        <v>630176</v>
      </c>
      <c r="D67" s="4" t="s">
        <v>94</v>
      </c>
      <c r="E67" s="4" t="s">
        <v>95</v>
      </c>
      <c r="F67" s="4" t="s">
        <v>96</v>
      </c>
      <c r="G67" s="4" t="s">
        <v>97</v>
      </c>
      <c r="H67" s="6">
        <v>39518</v>
      </c>
      <c r="I67" s="4" t="s">
        <v>99</v>
      </c>
      <c r="J67" s="32">
        <v>1330207</v>
      </c>
      <c r="K67" s="4" t="s">
        <v>27</v>
      </c>
      <c r="L67" s="2">
        <v>1</v>
      </c>
      <c r="M67" s="16" t="s">
        <v>20</v>
      </c>
      <c r="N67" s="7">
        <v>0.11</v>
      </c>
      <c r="O67" s="48">
        <f>N67/0.57*0.4</f>
        <v>7.7192982456140369E-2</v>
      </c>
      <c r="P67" s="44">
        <f t="shared" si="3"/>
        <v>0.7298596491228071</v>
      </c>
      <c r="Q67" s="54">
        <f>P67*L67/100/21.7</f>
        <v>3.363408521303259E-4</v>
      </c>
      <c r="R67" s="50">
        <v>1.0400499999999999</v>
      </c>
      <c r="S67" s="54">
        <f>R67*L67/100</f>
        <v>1.04005E-2</v>
      </c>
    </row>
    <row r="68" spans="1:21" s="1" customFormat="1" ht="19.7" customHeight="1" x14ac:dyDescent="0.2">
      <c r="A68" s="3">
        <v>384072</v>
      </c>
      <c r="B68" s="4" t="s">
        <v>0</v>
      </c>
      <c r="C68" s="5">
        <v>630176</v>
      </c>
      <c r="D68" s="4" t="s">
        <v>94</v>
      </c>
      <c r="E68" s="4" t="s">
        <v>95</v>
      </c>
      <c r="F68" s="4" t="s">
        <v>96</v>
      </c>
      <c r="G68" s="4" t="s">
        <v>97</v>
      </c>
      <c r="H68" s="6">
        <v>39518</v>
      </c>
      <c r="I68" s="4" t="s">
        <v>99</v>
      </c>
      <c r="J68" s="32">
        <v>822060</v>
      </c>
      <c r="K68" s="4" t="s">
        <v>50</v>
      </c>
      <c r="L68" s="2">
        <v>1</v>
      </c>
      <c r="M68" s="16" t="s">
        <v>20</v>
      </c>
      <c r="N68" s="7">
        <v>0.11</v>
      </c>
      <c r="O68" s="48">
        <f>N68/0.57*0.4</f>
        <v>7.7192982456140369E-2</v>
      </c>
      <c r="P68" s="44">
        <f t="shared" ref="P68:P99" si="6">O68/N68*R68</f>
        <v>0.7298596491228071</v>
      </c>
      <c r="Q68" s="54">
        <f>P68*L68/100/21.7*0.1075</f>
        <v>3.6156641604010037E-5</v>
      </c>
      <c r="R68" s="50">
        <v>1.0400499999999999</v>
      </c>
      <c r="S68" s="54">
        <f>R68*L68/100*0.1075</f>
        <v>1.11805375E-3</v>
      </c>
      <c r="U68" s="1" t="s">
        <v>205</v>
      </c>
    </row>
    <row r="69" spans="1:21" s="1" customFormat="1" ht="19.7" customHeight="1" x14ac:dyDescent="0.2">
      <c r="A69" s="3">
        <v>384072</v>
      </c>
      <c r="B69" s="4" t="s">
        <v>0</v>
      </c>
      <c r="C69" s="5">
        <v>630176</v>
      </c>
      <c r="D69" s="4" t="s">
        <v>94</v>
      </c>
      <c r="E69" s="4" t="s">
        <v>95</v>
      </c>
      <c r="F69" s="4" t="s">
        <v>96</v>
      </c>
      <c r="G69" s="4" t="s">
        <v>97</v>
      </c>
      <c r="H69" s="6">
        <v>39518</v>
      </c>
      <c r="I69" s="4" t="s">
        <v>99</v>
      </c>
      <c r="J69" s="32">
        <v>95636</v>
      </c>
      <c r="K69" s="4" t="s">
        <v>19</v>
      </c>
      <c r="L69" s="2">
        <v>5</v>
      </c>
      <c r="M69" s="16" t="s">
        <v>20</v>
      </c>
      <c r="N69" s="7">
        <v>0.11</v>
      </c>
      <c r="O69" s="48">
        <f>N69/0.57*0.4</f>
        <v>7.7192982456140369E-2</v>
      </c>
      <c r="P69" s="44">
        <f t="shared" si="6"/>
        <v>0.7298596491228071</v>
      </c>
      <c r="Q69" s="54">
        <f>P69*L69/100/21.7</f>
        <v>1.6817042606516294E-3</v>
      </c>
      <c r="R69" s="50">
        <v>1.0400499999999999</v>
      </c>
      <c r="S69" s="54">
        <f>R69*L69/100</f>
        <v>5.2002499999999993E-2</v>
      </c>
    </row>
    <row r="70" spans="1:21" s="1" customFormat="1" ht="19.7" customHeight="1" x14ac:dyDescent="0.2">
      <c r="A70" s="3">
        <v>384072</v>
      </c>
      <c r="B70" s="4" t="s">
        <v>0</v>
      </c>
      <c r="C70" s="5">
        <v>630176</v>
      </c>
      <c r="D70" s="4" t="s">
        <v>94</v>
      </c>
      <c r="E70" s="4" t="s">
        <v>95</v>
      </c>
      <c r="F70" s="4" t="s">
        <v>96</v>
      </c>
      <c r="G70" s="4" t="s">
        <v>100</v>
      </c>
      <c r="H70" s="6">
        <v>40163</v>
      </c>
      <c r="I70" s="4" t="s">
        <v>101</v>
      </c>
      <c r="J70" s="32">
        <v>108883</v>
      </c>
      <c r="K70" s="4" t="s">
        <v>63</v>
      </c>
      <c r="L70" s="2">
        <v>30</v>
      </c>
      <c r="M70" s="16" t="s">
        <v>20</v>
      </c>
      <c r="N70" s="7">
        <v>0.04</v>
      </c>
      <c r="O70" s="48">
        <v>0.04</v>
      </c>
      <c r="P70" s="44">
        <f t="shared" si="6"/>
        <v>0.27707999999999999</v>
      </c>
      <c r="Q70" s="54">
        <f>P70*L70/100/21.7</f>
        <v>3.8305990783410143E-3</v>
      </c>
      <c r="R70" s="50">
        <v>0.27707999999999999</v>
      </c>
      <c r="S70" s="54">
        <f>R70*L70/100</f>
        <v>8.3124000000000003E-2</v>
      </c>
    </row>
    <row r="71" spans="1:21" s="1" customFormat="1" ht="19.7" customHeight="1" x14ac:dyDescent="0.2">
      <c r="A71" s="3">
        <v>384072</v>
      </c>
      <c r="B71" s="4" t="s">
        <v>0</v>
      </c>
      <c r="C71" s="5">
        <v>630176</v>
      </c>
      <c r="D71" s="4" t="s">
        <v>94</v>
      </c>
      <c r="E71" s="4" t="s">
        <v>95</v>
      </c>
      <c r="F71" s="4" t="s">
        <v>96</v>
      </c>
      <c r="G71" s="4" t="s">
        <v>100</v>
      </c>
      <c r="H71" s="6">
        <v>40163</v>
      </c>
      <c r="I71" s="4" t="s">
        <v>101</v>
      </c>
      <c r="J71" s="32">
        <v>78933</v>
      </c>
      <c r="K71" s="4" t="s">
        <v>80</v>
      </c>
      <c r="L71" s="2">
        <v>60</v>
      </c>
      <c r="M71" s="16" t="s">
        <v>20</v>
      </c>
      <c r="N71" s="7">
        <v>0.04</v>
      </c>
      <c r="O71" s="48">
        <v>0.04</v>
      </c>
      <c r="P71" s="44">
        <f t="shared" si="6"/>
        <v>0.27707999999999999</v>
      </c>
      <c r="Q71" s="54">
        <f>P71*L71/100/21.7</f>
        <v>7.6611981566820286E-3</v>
      </c>
      <c r="R71" s="50">
        <v>0.27707999999999999</v>
      </c>
      <c r="S71" s="54">
        <f>R71*L71/100</f>
        <v>0.16624800000000001</v>
      </c>
    </row>
    <row r="72" spans="1:21" s="1" customFormat="1" ht="19.7" customHeight="1" x14ac:dyDescent="0.2">
      <c r="A72" s="3">
        <v>384072</v>
      </c>
      <c r="B72" s="4" t="s">
        <v>0</v>
      </c>
      <c r="C72" s="5">
        <v>630176</v>
      </c>
      <c r="D72" s="4" t="s">
        <v>94</v>
      </c>
      <c r="E72" s="4" t="s">
        <v>95</v>
      </c>
      <c r="F72" s="4" t="s">
        <v>96</v>
      </c>
      <c r="G72" s="4" t="s">
        <v>102</v>
      </c>
      <c r="H72" s="6">
        <v>42359</v>
      </c>
      <c r="I72" s="4" t="s">
        <v>99</v>
      </c>
      <c r="J72" s="32">
        <v>822060</v>
      </c>
      <c r="K72" s="4" t="s">
        <v>50</v>
      </c>
      <c r="L72" s="2">
        <v>1</v>
      </c>
      <c r="M72" s="16" t="s">
        <v>20</v>
      </c>
      <c r="N72" s="7">
        <v>0.48</v>
      </c>
      <c r="O72" s="48">
        <f>N72/0.57*0.4</f>
        <v>0.33684210526315794</v>
      </c>
      <c r="P72" s="44">
        <f t="shared" si="6"/>
        <v>3.1484631578947373</v>
      </c>
      <c r="Q72" s="54">
        <f>P72*L72/100/21.7*0.1075</f>
        <v>1.559722532136794E-4</v>
      </c>
      <c r="R72" s="50">
        <v>4.4865599999999999</v>
      </c>
      <c r="S72" s="54">
        <f>R72*L72/100*0.1075</f>
        <v>4.8230519999999995E-3</v>
      </c>
      <c r="U72" s="1" t="s">
        <v>205</v>
      </c>
    </row>
    <row r="73" spans="1:21" s="1" customFormat="1" ht="19.7" customHeight="1" x14ac:dyDescent="0.2">
      <c r="A73" s="3">
        <v>384072</v>
      </c>
      <c r="B73" s="4" t="s">
        <v>0</v>
      </c>
      <c r="C73" s="5">
        <v>630176</v>
      </c>
      <c r="D73" s="4" t="s">
        <v>94</v>
      </c>
      <c r="E73" s="4" t="s">
        <v>95</v>
      </c>
      <c r="F73" s="4" t="s">
        <v>96</v>
      </c>
      <c r="G73" s="4" t="s">
        <v>102</v>
      </c>
      <c r="H73" s="6">
        <v>42359</v>
      </c>
      <c r="I73" s="4" t="s">
        <v>99</v>
      </c>
      <c r="J73" s="32">
        <v>95636</v>
      </c>
      <c r="K73" s="4" t="s">
        <v>19</v>
      </c>
      <c r="L73" s="2">
        <v>1.9</v>
      </c>
      <c r="M73" s="16" t="s">
        <v>20</v>
      </c>
      <c r="N73" s="7">
        <v>0.48</v>
      </c>
      <c r="O73" s="48">
        <f>N73/0.57*0.4</f>
        <v>0.33684210526315794</v>
      </c>
      <c r="P73" s="44">
        <f t="shared" si="6"/>
        <v>3.1484631578947373</v>
      </c>
      <c r="Q73" s="54">
        <f>P73*L73/100/21.7</f>
        <v>2.7567188940092169E-3</v>
      </c>
      <c r="R73" s="50">
        <v>4.4865599999999999</v>
      </c>
      <c r="S73" s="54">
        <f>R73*L73/100</f>
        <v>8.5244639999999997E-2</v>
      </c>
    </row>
    <row r="74" spans="1:21" s="1" customFormat="1" ht="19.7" customHeight="1" x14ac:dyDescent="0.2">
      <c r="A74" s="18">
        <v>384072</v>
      </c>
      <c r="B74" s="19" t="s">
        <v>0</v>
      </c>
      <c r="C74" s="20">
        <v>630176</v>
      </c>
      <c r="D74" s="19" t="s">
        <v>94</v>
      </c>
      <c r="E74" s="19" t="s">
        <v>95</v>
      </c>
      <c r="F74" s="19" t="s">
        <v>96</v>
      </c>
      <c r="G74" s="19" t="s">
        <v>102</v>
      </c>
      <c r="H74" s="21">
        <v>42359</v>
      </c>
      <c r="I74" s="19" t="s">
        <v>99</v>
      </c>
      <c r="J74" s="33">
        <v>1221</v>
      </c>
      <c r="K74" s="19" t="s">
        <v>136</v>
      </c>
      <c r="L74" s="22">
        <v>90</v>
      </c>
      <c r="M74" s="23" t="s">
        <v>20</v>
      </c>
      <c r="N74" s="24">
        <v>0.48</v>
      </c>
      <c r="O74" s="58">
        <f>N74/0.57*0.4</f>
        <v>0.33684210526315794</v>
      </c>
      <c r="P74" s="45">
        <f t="shared" si="6"/>
        <v>3.1484631578947373</v>
      </c>
      <c r="Q74" s="55">
        <f>P74*L74/100/21.7*0.1075</f>
        <v>1.4037502789231144E-2</v>
      </c>
      <c r="R74" s="51">
        <v>4.4865599999999999</v>
      </c>
      <c r="S74" s="55">
        <f>R74*L74/100*0.1075</f>
        <v>0.43407467999999999</v>
      </c>
      <c r="U74" s="1" t="s">
        <v>205</v>
      </c>
    </row>
    <row r="75" spans="1:21" s="1" customFormat="1" ht="19.7" customHeight="1" x14ac:dyDescent="0.2">
      <c r="A75" s="3">
        <v>384072</v>
      </c>
      <c r="B75" s="4" t="s">
        <v>0</v>
      </c>
      <c r="C75" s="5">
        <v>630176</v>
      </c>
      <c r="D75" s="4" t="s">
        <v>94</v>
      </c>
      <c r="E75" s="4" t="s">
        <v>95</v>
      </c>
      <c r="F75" s="4" t="s">
        <v>96</v>
      </c>
      <c r="G75" s="4" t="s">
        <v>103</v>
      </c>
      <c r="H75" s="6">
        <v>41425</v>
      </c>
      <c r="I75" s="4" t="s">
        <v>104</v>
      </c>
      <c r="J75" s="32">
        <v>100414</v>
      </c>
      <c r="K75" s="4" t="s">
        <v>47</v>
      </c>
      <c r="L75" s="2">
        <v>5</v>
      </c>
      <c r="M75" s="16" t="s">
        <v>20</v>
      </c>
      <c r="N75" s="7">
        <v>3.89</v>
      </c>
      <c r="O75" s="49">
        <f>N75/(6.23)*3.52</f>
        <v>2.1978812199036919</v>
      </c>
      <c r="P75" s="44">
        <f t="shared" si="6"/>
        <v>25.86246831460674</v>
      </c>
      <c r="Q75" s="54">
        <f>P75*L75/100/21.7</f>
        <v>5.9590940817066229E-2</v>
      </c>
      <c r="R75" s="50">
        <v>45.773629999999997</v>
      </c>
      <c r="S75" s="54">
        <f>R75*L75/100</f>
        <v>2.2886815</v>
      </c>
    </row>
    <row r="76" spans="1:21" s="1" customFormat="1" ht="19.7" customHeight="1" x14ac:dyDescent="0.2">
      <c r="A76" s="3">
        <v>384072</v>
      </c>
      <c r="B76" s="4" t="s">
        <v>0</v>
      </c>
      <c r="C76" s="5">
        <v>630176</v>
      </c>
      <c r="D76" s="4" t="s">
        <v>94</v>
      </c>
      <c r="E76" s="4" t="s">
        <v>95</v>
      </c>
      <c r="F76" s="4" t="s">
        <v>96</v>
      </c>
      <c r="G76" s="4" t="s">
        <v>103</v>
      </c>
      <c r="H76" s="6">
        <v>41425</v>
      </c>
      <c r="I76" s="4" t="s">
        <v>104</v>
      </c>
      <c r="J76" s="32">
        <v>1330207</v>
      </c>
      <c r="K76" s="4" t="s">
        <v>27</v>
      </c>
      <c r="L76" s="2">
        <v>30</v>
      </c>
      <c r="M76" s="16" t="s">
        <v>20</v>
      </c>
      <c r="N76" s="7">
        <v>3.89</v>
      </c>
      <c r="O76" s="49">
        <f>N76/(6.23)*3.52</f>
        <v>2.1978812199036919</v>
      </c>
      <c r="P76" s="44">
        <f t="shared" si="6"/>
        <v>25.86246831460674</v>
      </c>
      <c r="Q76" s="54">
        <f>P76*L76/100/21.7</f>
        <v>0.35754564490239732</v>
      </c>
      <c r="R76" s="50">
        <v>45.773629999999997</v>
      </c>
      <c r="S76" s="54">
        <f>R76*L76/100</f>
        <v>13.732088999999998</v>
      </c>
    </row>
    <row r="77" spans="1:21" s="1" customFormat="1" ht="19.7" customHeight="1" x14ac:dyDescent="0.2">
      <c r="A77" s="3">
        <v>384072</v>
      </c>
      <c r="B77" s="4" t="s">
        <v>0</v>
      </c>
      <c r="C77" s="5">
        <v>630176</v>
      </c>
      <c r="D77" s="4" t="s">
        <v>94</v>
      </c>
      <c r="E77" s="4" t="s">
        <v>95</v>
      </c>
      <c r="F77" s="4" t="s">
        <v>96</v>
      </c>
      <c r="G77" s="4" t="s">
        <v>103</v>
      </c>
      <c r="H77" s="6">
        <v>41425</v>
      </c>
      <c r="I77" s="4" t="s">
        <v>104</v>
      </c>
      <c r="J77" s="32">
        <v>7727437</v>
      </c>
      <c r="K77" s="4" t="s">
        <v>64</v>
      </c>
      <c r="L77" s="2">
        <v>30</v>
      </c>
      <c r="M77" s="16" t="s">
        <v>29</v>
      </c>
      <c r="N77" s="7">
        <v>3.89</v>
      </c>
      <c r="O77" s="49">
        <f>N77/(6.23)*3.52</f>
        <v>2.1978812199036919</v>
      </c>
      <c r="P77" s="44">
        <f t="shared" si="6"/>
        <v>25.86246831460674</v>
      </c>
      <c r="Q77" s="54">
        <f>P77*L77/100*(1-0.65)*(1-F77/100)/21.7</f>
        <v>0.12514097571583907</v>
      </c>
      <c r="R77" s="50">
        <v>45.773629999999997</v>
      </c>
      <c r="S77" s="54">
        <f>R77*L77/100*(1-0.65)*(1-F77/100)</f>
        <v>4.8062311499999995</v>
      </c>
    </row>
    <row r="78" spans="1:21" s="1" customFormat="1" ht="19.7" customHeight="1" x14ac:dyDescent="0.2">
      <c r="A78" s="3">
        <v>384072</v>
      </c>
      <c r="B78" s="4" t="s">
        <v>0</v>
      </c>
      <c r="C78" s="5">
        <v>630176</v>
      </c>
      <c r="D78" s="4" t="s">
        <v>94</v>
      </c>
      <c r="E78" s="4" t="s">
        <v>95</v>
      </c>
      <c r="F78" s="4" t="s">
        <v>96</v>
      </c>
      <c r="G78" s="4" t="s">
        <v>105</v>
      </c>
      <c r="H78" s="6">
        <v>39255</v>
      </c>
      <c r="I78" s="4" t="s">
        <v>106</v>
      </c>
      <c r="J78" s="32">
        <v>540885</v>
      </c>
      <c r="K78" s="4" t="s">
        <v>23</v>
      </c>
      <c r="L78" s="2">
        <v>30</v>
      </c>
      <c r="M78" s="16" t="s">
        <v>20</v>
      </c>
      <c r="N78" s="7">
        <v>1.02</v>
      </c>
      <c r="O78" s="44">
        <v>1.02</v>
      </c>
      <c r="P78" s="44">
        <f t="shared" si="6"/>
        <v>11.150639999999999</v>
      </c>
      <c r="Q78" s="54">
        <f>P78*L78/100/21.7</f>
        <v>0.15415631336405528</v>
      </c>
      <c r="R78" s="50">
        <v>11.150639999999999</v>
      </c>
      <c r="S78" s="54">
        <f t="shared" ref="S78:S83" si="7">R78*L78/100</f>
        <v>3.3451919999999995</v>
      </c>
    </row>
    <row r="79" spans="1:21" s="1" customFormat="1" ht="19.7" customHeight="1" x14ac:dyDescent="0.2">
      <c r="A79" s="3">
        <v>384072</v>
      </c>
      <c r="B79" s="4" t="s">
        <v>0</v>
      </c>
      <c r="C79" s="5">
        <v>630176</v>
      </c>
      <c r="D79" s="4" t="s">
        <v>94</v>
      </c>
      <c r="E79" s="4" t="s">
        <v>95</v>
      </c>
      <c r="F79" s="4" t="s">
        <v>96</v>
      </c>
      <c r="G79" s="4" t="s">
        <v>107</v>
      </c>
      <c r="H79" s="6">
        <v>40561</v>
      </c>
      <c r="I79" s="4" t="s">
        <v>18</v>
      </c>
      <c r="J79" s="32">
        <v>1330207</v>
      </c>
      <c r="K79" s="4" t="s">
        <v>27</v>
      </c>
      <c r="L79" s="2">
        <v>1</v>
      </c>
      <c r="M79" s="16" t="s">
        <v>20</v>
      </c>
      <c r="N79" s="7">
        <v>2.34</v>
      </c>
      <c r="O79" s="49">
        <f>N79/(6.23)*3.52</f>
        <v>1.3221187800963079</v>
      </c>
      <c r="P79" s="44">
        <f t="shared" si="6"/>
        <v>16.219753194221507</v>
      </c>
      <c r="Q79" s="54">
        <f>P79*L79/100/21.7</f>
        <v>7.4745406424983904E-3</v>
      </c>
      <c r="R79" s="50">
        <v>28.70712</v>
      </c>
      <c r="S79" s="54">
        <f t="shared" si="7"/>
        <v>0.28707119999999997</v>
      </c>
    </row>
    <row r="80" spans="1:21" s="1" customFormat="1" ht="19.7" customHeight="1" x14ac:dyDescent="0.2">
      <c r="A80" s="3">
        <v>384072</v>
      </c>
      <c r="B80" s="4" t="s">
        <v>0</v>
      </c>
      <c r="C80" s="5">
        <v>630176</v>
      </c>
      <c r="D80" s="4" t="s">
        <v>94</v>
      </c>
      <c r="E80" s="4" t="s">
        <v>95</v>
      </c>
      <c r="F80" s="4" t="s">
        <v>96</v>
      </c>
      <c r="G80" s="4" t="s">
        <v>107</v>
      </c>
      <c r="H80" s="6">
        <v>40561</v>
      </c>
      <c r="I80" s="4" t="s">
        <v>18</v>
      </c>
      <c r="J80" s="32">
        <v>95636</v>
      </c>
      <c r="K80" s="4" t="s">
        <v>19</v>
      </c>
      <c r="L80" s="2">
        <v>1.5</v>
      </c>
      <c r="M80" s="16" t="s">
        <v>20</v>
      </c>
      <c r="N80" s="7">
        <v>2.34</v>
      </c>
      <c r="O80" s="49">
        <f>N80/(6.23)*3.52</f>
        <v>1.3221187800963079</v>
      </c>
      <c r="P80" s="44">
        <f t="shared" si="6"/>
        <v>16.219753194221507</v>
      </c>
      <c r="Q80" s="54">
        <f>P80*L80/100/21.7</f>
        <v>1.1211810963747584E-2</v>
      </c>
      <c r="R80" s="50">
        <v>28.70712</v>
      </c>
      <c r="S80" s="54">
        <f t="shared" si="7"/>
        <v>0.43060679999999996</v>
      </c>
    </row>
    <row r="81" spans="1:21" s="1" customFormat="1" ht="19.7" customHeight="1" x14ac:dyDescent="0.2">
      <c r="A81" s="3">
        <v>384072</v>
      </c>
      <c r="B81" s="4" t="s">
        <v>0</v>
      </c>
      <c r="C81" s="5">
        <v>630176</v>
      </c>
      <c r="D81" s="4" t="s">
        <v>94</v>
      </c>
      <c r="E81" s="4" t="s">
        <v>95</v>
      </c>
      <c r="F81" s="4" t="s">
        <v>96</v>
      </c>
      <c r="G81" s="4" t="s">
        <v>108</v>
      </c>
      <c r="H81" s="6">
        <v>42825</v>
      </c>
      <c r="I81" s="4" t="s">
        <v>109</v>
      </c>
      <c r="J81" s="32">
        <v>107982</v>
      </c>
      <c r="K81" s="4" t="s">
        <v>43</v>
      </c>
      <c r="L81" s="2">
        <v>3</v>
      </c>
      <c r="M81" s="16" t="s">
        <v>20</v>
      </c>
      <c r="N81" s="7">
        <v>0.59</v>
      </c>
      <c r="O81" s="44">
        <v>0.59</v>
      </c>
      <c r="P81" s="44">
        <f t="shared" si="6"/>
        <v>9.0104799999999994</v>
      </c>
      <c r="Q81" s="54">
        <f>P81*L81/100/21.7</f>
        <v>1.2456884792626726E-2</v>
      </c>
      <c r="R81" s="50">
        <v>9.0104799999999994</v>
      </c>
      <c r="S81" s="54">
        <f t="shared" si="7"/>
        <v>0.27031439999999995</v>
      </c>
    </row>
    <row r="82" spans="1:21" s="1" customFormat="1" ht="19.7" customHeight="1" x14ac:dyDescent="0.2">
      <c r="A82" s="3">
        <v>384072</v>
      </c>
      <c r="B82" s="4" t="s">
        <v>0</v>
      </c>
      <c r="C82" s="5">
        <v>630176</v>
      </c>
      <c r="D82" s="4" t="s">
        <v>94</v>
      </c>
      <c r="E82" s="4" t="s">
        <v>95</v>
      </c>
      <c r="F82" s="4" t="s">
        <v>96</v>
      </c>
      <c r="G82" s="4" t="s">
        <v>108</v>
      </c>
      <c r="H82" s="6">
        <v>42825</v>
      </c>
      <c r="I82" s="4" t="s">
        <v>109</v>
      </c>
      <c r="J82" s="32">
        <v>95636</v>
      </c>
      <c r="K82" s="4" t="s">
        <v>19</v>
      </c>
      <c r="L82" s="2">
        <v>3</v>
      </c>
      <c r="M82" s="16" t="s">
        <v>20</v>
      </c>
      <c r="N82" s="7">
        <v>0.59</v>
      </c>
      <c r="O82" s="44">
        <v>0.59</v>
      </c>
      <c r="P82" s="44">
        <f t="shared" si="6"/>
        <v>9.0104799999999994</v>
      </c>
      <c r="Q82" s="54">
        <f>P82*L82/100/21.7</f>
        <v>1.2456884792626726E-2</v>
      </c>
      <c r="R82" s="50">
        <v>9.0104799999999994</v>
      </c>
      <c r="S82" s="54">
        <f t="shared" si="7"/>
        <v>0.27031439999999995</v>
      </c>
    </row>
    <row r="83" spans="1:21" s="1" customFormat="1" ht="19.7" customHeight="1" x14ac:dyDescent="0.2">
      <c r="A83" s="25">
        <v>384072</v>
      </c>
      <c r="B83" s="26" t="s">
        <v>0</v>
      </c>
      <c r="C83" s="27">
        <v>630176</v>
      </c>
      <c r="D83" s="26" t="s">
        <v>94</v>
      </c>
      <c r="E83" s="26" t="s">
        <v>95</v>
      </c>
      <c r="F83" s="26" t="s">
        <v>96</v>
      </c>
      <c r="G83" s="26" t="s">
        <v>108</v>
      </c>
      <c r="H83" s="28">
        <v>42825</v>
      </c>
      <c r="I83" s="26" t="s">
        <v>109</v>
      </c>
      <c r="J83" s="34">
        <v>1175</v>
      </c>
      <c r="K83" s="26" t="s">
        <v>135</v>
      </c>
      <c r="L83" s="29">
        <v>30</v>
      </c>
      <c r="M83" s="30" t="s">
        <v>29</v>
      </c>
      <c r="N83" s="31">
        <v>0.59</v>
      </c>
      <c r="O83" s="47">
        <v>0.59</v>
      </c>
      <c r="P83" s="47">
        <f t="shared" si="6"/>
        <v>9.0104799999999994</v>
      </c>
      <c r="Q83" s="57">
        <f>P83*L83/100*(1-0.65)*(1-F83/100)/21.7</f>
        <v>4.3599096774193546E-2</v>
      </c>
      <c r="R83" s="53">
        <v>9.0104799999999994</v>
      </c>
      <c r="S83" s="57">
        <f t="shared" si="7"/>
        <v>2.703144</v>
      </c>
    </row>
    <row r="84" spans="1:21" s="1" customFormat="1" ht="19.7" customHeight="1" x14ac:dyDescent="0.2">
      <c r="A84" s="3">
        <v>384072</v>
      </c>
      <c r="B84" s="4" t="s">
        <v>0</v>
      </c>
      <c r="C84" s="5">
        <v>630176</v>
      </c>
      <c r="D84" s="4" t="s">
        <v>94</v>
      </c>
      <c r="E84" s="4" t="s">
        <v>95</v>
      </c>
      <c r="F84" s="4" t="s">
        <v>96</v>
      </c>
      <c r="G84" s="4" t="s">
        <v>110</v>
      </c>
      <c r="H84" s="6">
        <v>40956</v>
      </c>
      <c r="I84" s="4" t="s">
        <v>111</v>
      </c>
      <c r="J84" s="32">
        <v>1344281</v>
      </c>
      <c r="K84" s="4" t="s">
        <v>112</v>
      </c>
      <c r="L84" s="2">
        <v>5</v>
      </c>
      <c r="M84" s="16" t="s">
        <v>29</v>
      </c>
      <c r="N84" s="7">
        <v>1.1399999999999999</v>
      </c>
      <c r="O84" s="44">
        <v>0.53</v>
      </c>
      <c r="P84" s="44">
        <f t="shared" si="6"/>
        <v>7.077090000000001</v>
      </c>
      <c r="Q84" s="54">
        <f>P84*L84/100*(1-0.65)*(1-F84/100)/21.7</f>
        <v>5.7073306451612916E-3</v>
      </c>
      <c r="R84" s="50">
        <v>15.22242</v>
      </c>
      <c r="S84" s="54">
        <f>R84*L84/100*(1-0.65)*(1-F84/100)</f>
        <v>0.26639234999999994</v>
      </c>
    </row>
    <row r="85" spans="1:21" s="1" customFormat="1" ht="19.7" customHeight="1" x14ac:dyDescent="0.2">
      <c r="A85" s="3">
        <v>388390</v>
      </c>
      <c r="B85" s="4" t="s">
        <v>0</v>
      </c>
      <c r="C85" s="5">
        <v>703426</v>
      </c>
      <c r="D85" s="4" t="s">
        <v>89</v>
      </c>
      <c r="E85" s="4" t="s">
        <v>113</v>
      </c>
      <c r="F85" s="4" t="s">
        <v>114</v>
      </c>
      <c r="G85" s="4" t="s">
        <v>115</v>
      </c>
      <c r="H85" s="6">
        <v>41989</v>
      </c>
      <c r="I85" s="4" t="s">
        <v>116</v>
      </c>
      <c r="J85" s="32">
        <v>1330207</v>
      </c>
      <c r="K85" s="4" t="s">
        <v>27</v>
      </c>
      <c r="L85" s="2">
        <v>5</v>
      </c>
      <c r="M85" s="16" t="s">
        <v>20</v>
      </c>
      <c r="N85" s="7">
        <v>1.33</v>
      </c>
      <c r="O85" s="48">
        <f t="shared" ref="O85:O93" si="8">7.45/27.83*N85</f>
        <v>0.35603665109593968</v>
      </c>
      <c r="P85" s="44">
        <f t="shared" si="6"/>
        <v>3.1495002155946823</v>
      </c>
      <c r="Q85" s="54">
        <f>P85*L85/100/21.7</f>
        <v>7.2569129391582545E-3</v>
      </c>
      <c r="R85" s="50">
        <v>11.765180000000001</v>
      </c>
      <c r="S85" s="54">
        <f>R85*L85/100</f>
        <v>0.58825900000000009</v>
      </c>
    </row>
    <row r="86" spans="1:21" s="1" customFormat="1" ht="19.7" customHeight="1" x14ac:dyDescent="0.2">
      <c r="A86" s="3">
        <v>388390</v>
      </c>
      <c r="B86" s="4" t="s">
        <v>0</v>
      </c>
      <c r="C86" s="5">
        <v>703426</v>
      </c>
      <c r="D86" s="4" t="s">
        <v>89</v>
      </c>
      <c r="E86" s="4" t="s">
        <v>113</v>
      </c>
      <c r="F86" s="4" t="s">
        <v>114</v>
      </c>
      <c r="G86" s="4" t="s">
        <v>115</v>
      </c>
      <c r="H86" s="6">
        <v>42878</v>
      </c>
      <c r="I86" s="4" t="s">
        <v>117</v>
      </c>
      <c r="J86" s="32">
        <v>822060</v>
      </c>
      <c r="K86" s="4" t="s">
        <v>50</v>
      </c>
      <c r="L86" s="2">
        <v>1</v>
      </c>
      <c r="M86" s="16" t="s">
        <v>20</v>
      </c>
      <c r="N86" s="7">
        <v>1.33</v>
      </c>
      <c r="O86" s="48">
        <f t="shared" si="8"/>
        <v>0.35603665109593968</v>
      </c>
      <c r="P86" s="44">
        <f t="shared" si="6"/>
        <v>3.3278745777937475</v>
      </c>
      <c r="Q86" s="54">
        <f>P86*L86/100/21.7*0.1075</f>
        <v>1.6486014613494374E-4</v>
      </c>
      <c r="R86" s="50">
        <v>12.431509999999999</v>
      </c>
      <c r="S86" s="54">
        <f>R86*L86/100*0.1075</f>
        <v>1.336387325E-2</v>
      </c>
      <c r="U86" s="1" t="s">
        <v>205</v>
      </c>
    </row>
    <row r="87" spans="1:21" s="1" customFormat="1" ht="19.7" customHeight="1" x14ac:dyDescent="0.2">
      <c r="A87" s="18">
        <v>388390</v>
      </c>
      <c r="B87" s="19" t="s">
        <v>0</v>
      </c>
      <c r="C87" s="20">
        <v>703426</v>
      </c>
      <c r="D87" s="19" t="s">
        <v>89</v>
      </c>
      <c r="E87" s="19" t="s">
        <v>113</v>
      </c>
      <c r="F87" s="19" t="s">
        <v>114</v>
      </c>
      <c r="G87" s="19" t="s">
        <v>115</v>
      </c>
      <c r="H87" s="21">
        <v>42878</v>
      </c>
      <c r="I87" s="19" t="s">
        <v>117</v>
      </c>
      <c r="J87" s="33">
        <v>1221</v>
      </c>
      <c r="K87" s="19" t="s">
        <v>136</v>
      </c>
      <c r="L87" s="22">
        <v>90</v>
      </c>
      <c r="M87" s="23" t="s">
        <v>20</v>
      </c>
      <c r="N87" s="24">
        <v>1.33</v>
      </c>
      <c r="O87" s="58">
        <f t="shared" si="8"/>
        <v>0.35603665109593968</v>
      </c>
      <c r="P87" s="45">
        <f t="shared" si="6"/>
        <v>3.3278745777937475</v>
      </c>
      <c r="Q87" s="55">
        <f>P87*L87/100/21.7*0.1075</f>
        <v>1.4837413152144936E-2</v>
      </c>
      <c r="R87" s="51">
        <v>12.431509999999999</v>
      </c>
      <c r="S87" s="55">
        <f>R87*L87/100*0.1075</f>
        <v>1.2027485925000001</v>
      </c>
      <c r="U87" s="1" t="s">
        <v>205</v>
      </c>
    </row>
    <row r="88" spans="1:21" s="1" customFormat="1" ht="19.7" customHeight="1" x14ac:dyDescent="0.2">
      <c r="A88" s="3">
        <v>388390</v>
      </c>
      <c r="B88" s="4" t="s">
        <v>0</v>
      </c>
      <c r="C88" s="5">
        <v>703426</v>
      </c>
      <c r="D88" s="4" t="s">
        <v>89</v>
      </c>
      <c r="E88" s="4" t="s">
        <v>113</v>
      </c>
      <c r="F88" s="4" t="s">
        <v>114</v>
      </c>
      <c r="G88" s="4" t="s">
        <v>118</v>
      </c>
      <c r="H88" s="6">
        <v>41879</v>
      </c>
      <c r="I88" s="4" t="s">
        <v>119</v>
      </c>
      <c r="J88" s="32">
        <v>1330207</v>
      </c>
      <c r="K88" s="4" t="s">
        <v>27</v>
      </c>
      <c r="L88" s="2">
        <v>5</v>
      </c>
      <c r="M88" s="16" t="s">
        <v>20</v>
      </c>
      <c r="N88" s="7">
        <v>2.65</v>
      </c>
      <c r="O88" s="48">
        <f t="shared" si="8"/>
        <v>0.70939633489040599</v>
      </c>
      <c r="P88" s="44">
        <f t="shared" si="6"/>
        <v>8.1701175889328059</v>
      </c>
      <c r="Q88" s="54">
        <f>P88*L88/100/21.7</f>
        <v>1.8825155734868218E-2</v>
      </c>
      <c r="R88" s="50">
        <v>30.520050000000001</v>
      </c>
      <c r="S88" s="54">
        <f>R88*L88/100</f>
        <v>1.5260025000000002</v>
      </c>
    </row>
    <row r="89" spans="1:21" s="1" customFormat="1" ht="19.7" customHeight="1" x14ac:dyDescent="0.2">
      <c r="A89" s="3">
        <v>388390</v>
      </c>
      <c r="B89" s="4" t="s">
        <v>0</v>
      </c>
      <c r="C89" s="5">
        <v>703426</v>
      </c>
      <c r="D89" s="4" t="s">
        <v>89</v>
      </c>
      <c r="E89" s="4" t="s">
        <v>113</v>
      </c>
      <c r="F89" s="4" t="s">
        <v>114</v>
      </c>
      <c r="G89" s="4" t="s">
        <v>118</v>
      </c>
      <c r="H89" s="6">
        <v>42878</v>
      </c>
      <c r="I89" s="4" t="s">
        <v>117</v>
      </c>
      <c r="J89" s="32">
        <v>822060</v>
      </c>
      <c r="K89" s="4" t="s">
        <v>50</v>
      </c>
      <c r="L89" s="2">
        <v>1</v>
      </c>
      <c r="M89" s="16" t="s">
        <v>20</v>
      </c>
      <c r="N89" s="7">
        <v>2.65</v>
      </c>
      <c r="O89" s="48">
        <f t="shared" si="8"/>
        <v>0.70939633489040599</v>
      </c>
      <c r="P89" s="44">
        <f t="shared" si="6"/>
        <v>6.6307275422206251</v>
      </c>
      <c r="Q89" s="54">
        <f>P89*L89/100/21.7*0.1075</f>
        <v>3.2848074229894803E-4</v>
      </c>
      <c r="R89" s="50">
        <v>24.769549999999999</v>
      </c>
      <c r="S89" s="54">
        <f>R89*L89/100*0.1075</f>
        <v>2.6627266249999997E-2</v>
      </c>
      <c r="U89" s="1" t="s">
        <v>205</v>
      </c>
    </row>
    <row r="90" spans="1:21" s="1" customFormat="1" ht="19.7" customHeight="1" x14ac:dyDescent="0.2">
      <c r="A90" s="18">
        <v>388390</v>
      </c>
      <c r="B90" s="19" t="s">
        <v>0</v>
      </c>
      <c r="C90" s="20">
        <v>703426</v>
      </c>
      <c r="D90" s="19" t="s">
        <v>89</v>
      </c>
      <c r="E90" s="19" t="s">
        <v>113</v>
      </c>
      <c r="F90" s="19" t="s">
        <v>114</v>
      </c>
      <c r="G90" s="19" t="s">
        <v>118</v>
      </c>
      <c r="H90" s="21">
        <v>42878</v>
      </c>
      <c r="I90" s="19" t="s">
        <v>117</v>
      </c>
      <c r="J90" s="33">
        <v>1221</v>
      </c>
      <c r="K90" s="19" t="s">
        <v>136</v>
      </c>
      <c r="L90" s="22">
        <v>90</v>
      </c>
      <c r="M90" s="23" t="s">
        <v>20</v>
      </c>
      <c r="N90" s="24">
        <v>2.65</v>
      </c>
      <c r="O90" s="58">
        <f t="shared" si="8"/>
        <v>0.70939633489040599</v>
      </c>
      <c r="P90" s="45">
        <f t="shared" si="6"/>
        <v>6.6307275422206251</v>
      </c>
      <c r="Q90" s="55">
        <f>P90*L90/100/21.7*0.1075</f>
        <v>2.9563266806905322E-2</v>
      </c>
      <c r="R90" s="51">
        <v>24.769549999999999</v>
      </c>
      <c r="S90" s="55">
        <f>R90*L90/100*0.1075</f>
        <v>2.3964539625000003</v>
      </c>
      <c r="U90" s="1" t="s">
        <v>205</v>
      </c>
    </row>
    <row r="91" spans="1:21" s="1" customFormat="1" ht="19.7" customHeight="1" x14ac:dyDescent="0.2">
      <c r="A91" s="3">
        <v>388390</v>
      </c>
      <c r="B91" s="4" t="s">
        <v>0</v>
      </c>
      <c r="C91" s="5">
        <v>703426</v>
      </c>
      <c r="D91" s="4" t="s">
        <v>89</v>
      </c>
      <c r="E91" s="4" t="s">
        <v>113</v>
      </c>
      <c r="F91" s="4" t="s">
        <v>114</v>
      </c>
      <c r="G91" s="4" t="s">
        <v>120</v>
      </c>
      <c r="H91" s="6">
        <v>41726</v>
      </c>
      <c r="I91" s="4" t="s">
        <v>121</v>
      </c>
      <c r="J91" s="32">
        <v>1330207</v>
      </c>
      <c r="K91" s="4" t="s">
        <v>27</v>
      </c>
      <c r="L91" s="2">
        <v>5</v>
      </c>
      <c r="M91" s="16" t="s">
        <v>20</v>
      </c>
      <c r="N91" s="7">
        <v>14.91</v>
      </c>
      <c r="O91" s="48">
        <f t="shared" si="8"/>
        <v>3.9913582464965867</v>
      </c>
      <c r="P91" s="44">
        <f t="shared" si="6"/>
        <v>33.643158659719724</v>
      </c>
      <c r="Q91" s="54">
        <f>P91*L91/100/21.7</f>
        <v>7.7518798755114568E-2</v>
      </c>
      <c r="R91" s="50">
        <v>125.67639</v>
      </c>
      <c r="S91" s="54">
        <f>R91*L91/100</f>
        <v>6.2838194999999999</v>
      </c>
    </row>
    <row r="92" spans="1:21" s="1" customFormat="1" ht="19.7" customHeight="1" x14ac:dyDescent="0.2">
      <c r="A92" s="3">
        <v>388390</v>
      </c>
      <c r="B92" s="4" t="s">
        <v>0</v>
      </c>
      <c r="C92" s="5">
        <v>703426</v>
      </c>
      <c r="D92" s="4" t="s">
        <v>89</v>
      </c>
      <c r="E92" s="4" t="s">
        <v>113</v>
      </c>
      <c r="F92" s="4" t="s">
        <v>114</v>
      </c>
      <c r="G92" s="4" t="s">
        <v>120</v>
      </c>
      <c r="H92" s="6">
        <v>42878</v>
      </c>
      <c r="I92" s="4" t="s">
        <v>117</v>
      </c>
      <c r="J92" s="32">
        <v>822060</v>
      </c>
      <c r="K92" s="4" t="s">
        <v>50</v>
      </c>
      <c r="L92" s="2">
        <v>1</v>
      </c>
      <c r="M92" s="16" t="s">
        <v>20</v>
      </c>
      <c r="N92" s="7">
        <v>4.96</v>
      </c>
      <c r="O92" s="48">
        <f t="shared" si="8"/>
        <v>1.3277757815307223</v>
      </c>
      <c r="P92" s="44">
        <f t="shared" si="6"/>
        <v>12.41072022996766</v>
      </c>
      <c r="Q92" s="54">
        <f>P92*L92/100/21.7*0.1075</f>
        <v>6.1481678558595557E-4</v>
      </c>
      <c r="R92" s="50">
        <v>46.36112</v>
      </c>
      <c r="S92" s="54">
        <f>R92*L92/100*0.1075</f>
        <v>4.9838203999999997E-2</v>
      </c>
      <c r="U92" s="1" t="s">
        <v>205</v>
      </c>
    </row>
    <row r="93" spans="1:21" s="1" customFormat="1" ht="19.7" customHeight="1" x14ac:dyDescent="0.2">
      <c r="A93" s="18">
        <v>388390</v>
      </c>
      <c r="B93" s="19" t="s">
        <v>0</v>
      </c>
      <c r="C93" s="20">
        <v>703426</v>
      </c>
      <c r="D93" s="19" t="s">
        <v>89</v>
      </c>
      <c r="E93" s="19" t="s">
        <v>113</v>
      </c>
      <c r="F93" s="19" t="s">
        <v>114</v>
      </c>
      <c r="G93" s="19" t="s">
        <v>120</v>
      </c>
      <c r="H93" s="21">
        <v>42878</v>
      </c>
      <c r="I93" s="19" t="s">
        <v>117</v>
      </c>
      <c r="J93" s="33">
        <v>1221</v>
      </c>
      <c r="K93" s="19" t="s">
        <v>136</v>
      </c>
      <c r="L93" s="22">
        <v>90</v>
      </c>
      <c r="M93" s="23" t="s">
        <v>20</v>
      </c>
      <c r="N93" s="24">
        <v>4.96</v>
      </c>
      <c r="O93" s="58">
        <f t="shared" si="8"/>
        <v>1.3277757815307223</v>
      </c>
      <c r="P93" s="45">
        <f t="shared" si="6"/>
        <v>12.41072022996766</v>
      </c>
      <c r="Q93" s="55">
        <f>P93*L93/100/21.7*0.1075</f>
        <v>5.5333510702735997E-2</v>
      </c>
      <c r="R93" s="51">
        <v>46.36112</v>
      </c>
      <c r="S93" s="55">
        <f>R93*L93/100*0.1075</f>
        <v>4.4854383599999998</v>
      </c>
      <c r="U93" s="1" t="s">
        <v>205</v>
      </c>
    </row>
    <row r="94" spans="1:21" s="1" customFormat="1" ht="19.7" customHeight="1" x14ac:dyDescent="0.2">
      <c r="A94" s="3">
        <v>388390</v>
      </c>
      <c r="B94" s="4" t="s">
        <v>0</v>
      </c>
      <c r="C94" s="5">
        <v>703426</v>
      </c>
      <c r="D94" s="4" t="s">
        <v>89</v>
      </c>
      <c r="E94" s="4" t="s">
        <v>113</v>
      </c>
      <c r="F94" s="4" t="s">
        <v>114</v>
      </c>
      <c r="G94" s="4" t="s">
        <v>122</v>
      </c>
      <c r="H94" s="6">
        <v>42923</v>
      </c>
      <c r="I94" s="4" t="s">
        <v>123</v>
      </c>
      <c r="J94" s="32">
        <v>78922</v>
      </c>
      <c r="K94" s="4" t="s">
        <v>124</v>
      </c>
      <c r="L94" s="2">
        <v>20</v>
      </c>
      <c r="M94" s="16" t="s">
        <v>20</v>
      </c>
      <c r="N94" s="7">
        <v>5.26</v>
      </c>
      <c r="O94" s="48">
        <f t="shared" ref="O94:O101" si="9">N94/22.98*6.35</f>
        <v>1.4534812880765882</v>
      </c>
      <c r="P94" s="44">
        <f t="shared" si="6"/>
        <v>18.922872889469101</v>
      </c>
      <c r="Q94" s="54">
        <f>P94*L94/100/21.7</f>
        <v>0.17440435842828667</v>
      </c>
      <c r="R94" s="50">
        <v>68.479939999999999</v>
      </c>
      <c r="S94" s="54">
        <f>R94*L94/100</f>
        <v>13.695988</v>
      </c>
    </row>
    <row r="95" spans="1:21" s="1" customFormat="1" ht="19.7" customHeight="1" x14ac:dyDescent="0.2">
      <c r="A95" s="3">
        <v>388390</v>
      </c>
      <c r="B95" s="4" t="s">
        <v>0</v>
      </c>
      <c r="C95" s="5">
        <v>703426</v>
      </c>
      <c r="D95" s="4" t="s">
        <v>89</v>
      </c>
      <c r="E95" s="4" t="s">
        <v>113</v>
      </c>
      <c r="F95" s="4" t="s">
        <v>114</v>
      </c>
      <c r="G95" s="4" t="s">
        <v>91</v>
      </c>
      <c r="H95" s="6">
        <v>42709</v>
      </c>
      <c r="I95" s="4" t="s">
        <v>125</v>
      </c>
      <c r="J95" s="32">
        <v>2807309</v>
      </c>
      <c r="K95" s="4" t="s">
        <v>126</v>
      </c>
      <c r="L95" s="2">
        <v>5</v>
      </c>
      <c r="M95" s="16" t="s">
        <v>20</v>
      </c>
      <c r="N95" s="7">
        <v>8.86</v>
      </c>
      <c r="O95" s="48">
        <f t="shared" si="9"/>
        <v>2.4482593559617056</v>
      </c>
      <c r="P95" s="44">
        <f t="shared" si="6"/>
        <v>21.248442950391645</v>
      </c>
      <c r="Q95" s="54">
        <f>P95*L95/100/21.7</f>
        <v>4.8959545968644345E-2</v>
      </c>
      <c r="R95" s="50">
        <v>76.895939999999996</v>
      </c>
      <c r="S95" s="54">
        <f>R95*L95/100</f>
        <v>3.8447969999999998</v>
      </c>
    </row>
    <row r="96" spans="1:21" s="1" customFormat="1" ht="19.7" customHeight="1" x14ac:dyDescent="0.2">
      <c r="A96" s="3">
        <v>388390</v>
      </c>
      <c r="B96" s="4" t="s">
        <v>0</v>
      </c>
      <c r="C96" s="5">
        <v>703426</v>
      </c>
      <c r="D96" s="4" t="s">
        <v>89</v>
      </c>
      <c r="E96" s="4" t="s">
        <v>113</v>
      </c>
      <c r="F96" s="4" t="s">
        <v>114</v>
      </c>
      <c r="G96" s="4" t="s">
        <v>91</v>
      </c>
      <c r="H96" s="6">
        <v>42807</v>
      </c>
      <c r="I96" s="4" t="s">
        <v>92</v>
      </c>
      <c r="J96" s="32">
        <v>107982</v>
      </c>
      <c r="K96" s="4" t="s">
        <v>43</v>
      </c>
      <c r="L96" s="2">
        <v>5</v>
      </c>
      <c r="M96" s="16" t="s">
        <v>20</v>
      </c>
      <c r="N96" s="7">
        <v>8.86</v>
      </c>
      <c r="O96" s="48">
        <f t="shared" si="9"/>
        <v>2.4482593559617056</v>
      </c>
      <c r="P96" s="44">
        <f t="shared" si="6"/>
        <v>33.506877545691907</v>
      </c>
      <c r="Q96" s="54">
        <f>P96*L96/100/21.7</f>
        <v>7.7204786971640349E-2</v>
      </c>
      <c r="R96" s="50">
        <v>121.25796</v>
      </c>
      <c r="S96" s="54">
        <f>R96*L96/100</f>
        <v>6.0628980000000006</v>
      </c>
    </row>
    <row r="97" spans="1:19" s="1" customFormat="1" ht="19.7" customHeight="1" x14ac:dyDescent="0.2">
      <c r="A97" s="3">
        <v>388390</v>
      </c>
      <c r="B97" s="4" t="s">
        <v>0</v>
      </c>
      <c r="C97" s="5">
        <v>703426</v>
      </c>
      <c r="D97" s="4" t="s">
        <v>89</v>
      </c>
      <c r="E97" s="4" t="s">
        <v>113</v>
      </c>
      <c r="F97" s="4" t="s">
        <v>114</v>
      </c>
      <c r="G97" s="4" t="s">
        <v>91</v>
      </c>
      <c r="H97" s="6">
        <v>42807</v>
      </c>
      <c r="I97" s="4" t="s">
        <v>92</v>
      </c>
      <c r="J97" s="32">
        <v>111762</v>
      </c>
      <c r="K97" s="4" t="s">
        <v>32</v>
      </c>
      <c r="L97" s="2">
        <v>10</v>
      </c>
      <c r="M97" s="16" t="s">
        <v>20</v>
      </c>
      <c r="N97" s="7">
        <v>8.86</v>
      </c>
      <c r="O97" s="48">
        <f t="shared" si="9"/>
        <v>2.4482593559617056</v>
      </c>
      <c r="P97" s="44">
        <f t="shared" si="6"/>
        <v>33.506877545691907</v>
      </c>
      <c r="Q97" s="54">
        <f>P97*L97/100/21.7</f>
        <v>0.1544095739432807</v>
      </c>
      <c r="R97" s="50">
        <v>121.25796</v>
      </c>
      <c r="S97" s="54">
        <f>R97*L97/100</f>
        <v>12.125796000000001</v>
      </c>
    </row>
    <row r="98" spans="1:19" s="1" customFormat="1" ht="19.7" customHeight="1" x14ac:dyDescent="0.2">
      <c r="A98" s="3">
        <v>388390</v>
      </c>
      <c r="B98" s="4" t="s">
        <v>0</v>
      </c>
      <c r="C98" s="5">
        <v>703426</v>
      </c>
      <c r="D98" s="4" t="s">
        <v>89</v>
      </c>
      <c r="E98" s="4" t="s">
        <v>113</v>
      </c>
      <c r="F98" s="4" t="s">
        <v>114</v>
      </c>
      <c r="G98" s="4" t="s">
        <v>91</v>
      </c>
      <c r="H98" s="6">
        <v>42807</v>
      </c>
      <c r="I98" s="4" t="s">
        <v>92</v>
      </c>
      <c r="J98" s="32">
        <v>67630</v>
      </c>
      <c r="K98" s="4" t="s">
        <v>85</v>
      </c>
      <c r="L98" s="2">
        <v>5</v>
      </c>
      <c r="M98" s="16" t="s">
        <v>20</v>
      </c>
      <c r="N98" s="7">
        <v>8.86</v>
      </c>
      <c r="O98" s="48">
        <f t="shared" si="9"/>
        <v>2.4482593559617056</v>
      </c>
      <c r="P98" s="44">
        <f t="shared" si="6"/>
        <v>33.506877545691907</v>
      </c>
      <c r="Q98" s="54">
        <f>P98*L98/100/21.7</f>
        <v>7.7204786971640349E-2</v>
      </c>
      <c r="R98" s="50">
        <v>121.25796</v>
      </c>
      <c r="S98" s="54">
        <f>R98*L98/100</f>
        <v>6.0628980000000006</v>
      </c>
    </row>
    <row r="99" spans="1:19" s="1" customFormat="1" ht="19.7" customHeight="1" x14ac:dyDescent="0.2">
      <c r="A99" s="3">
        <v>388390</v>
      </c>
      <c r="B99" s="4" t="s">
        <v>0</v>
      </c>
      <c r="C99" s="5">
        <v>703426</v>
      </c>
      <c r="D99" s="4" t="s">
        <v>89</v>
      </c>
      <c r="E99" s="4" t="s">
        <v>113</v>
      </c>
      <c r="F99" s="4" t="s">
        <v>114</v>
      </c>
      <c r="G99" s="4" t="s">
        <v>91</v>
      </c>
      <c r="H99" s="6">
        <v>42807</v>
      </c>
      <c r="I99" s="4" t="s">
        <v>92</v>
      </c>
      <c r="J99" s="32">
        <v>7727437</v>
      </c>
      <c r="K99" s="4" t="s">
        <v>64</v>
      </c>
      <c r="L99" s="2">
        <v>10</v>
      </c>
      <c r="M99" s="16" t="s">
        <v>29</v>
      </c>
      <c r="N99" s="7">
        <v>8.86</v>
      </c>
      <c r="O99" s="48">
        <f t="shared" si="9"/>
        <v>2.4482593559617056</v>
      </c>
      <c r="P99" s="44">
        <f t="shared" si="6"/>
        <v>33.506877545691907</v>
      </c>
      <c r="Q99" s="54">
        <f>P99*L99/100*(1-0.65)*(1-F99/100)/21.7</f>
        <v>5.4043350880202291E-6</v>
      </c>
      <c r="R99" s="50">
        <v>121.25796</v>
      </c>
      <c r="S99" s="54">
        <f>R99*L99/100*(1-0.65)*(1-F99/100)</f>
        <v>4.2440286000042444E-4</v>
      </c>
    </row>
    <row r="100" spans="1:19" s="1" customFormat="1" ht="19.7" customHeight="1" x14ac:dyDescent="0.2">
      <c r="A100" s="3">
        <v>388390</v>
      </c>
      <c r="B100" s="4" t="s">
        <v>0</v>
      </c>
      <c r="C100" s="5">
        <v>703426</v>
      </c>
      <c r="D100" s="4" t="s">
        <v>89</v>
      </c>
      <c r="E100" s="4" t="s">
        <v>113</v>
      </c>
      <c r="F100" s="4" t="s">
        <v>114</v>
      </c>
      <c r="G100" s="4" t="s">
        <v>91</v>
      </c>
      <c r="H100" s="6">
        <v>42807</v>
      </c>
      <c r="I100" s="4" t="s">
        <v>92</v>
      </c>
      <c r="J100" s="32">
        <v>7779900</v>
      </c>
      <c r="K100" s="4" t="s">
        <v>93</v>
      </c>
      <c r="L100" s="2">
        <v>10</v>
      </c>
      <c r="M100" s="16" t="s">
        <v>29</v>
      </c>
      <c r="N100" s="7">
        <v>8.86</v>
      </c>
      <c r="O100" s="48">
        <f t="shared" si="9"/>
        <v>2.4482593559617056</v>
      </c>
      <c r="P100" s="44">
        <f t="shared" ref="P100:P101" si="10">O100/N100*R100</f>
        <v>33.506877545691907</v>
      </c>
      <c r="Q100" s="54">
        <f>P100*L100/100*(1-0.65)*(1-F100/100)/21.7</f>
        <v>5.4043350880202291E-6</v>
      </c>
      <c r="R100" s="50">
        <v>121.25796</v>
      </c>
      <c r="S100" s="54">
        <f>R100*L100/100*(1-0.65)*(1-F100/100)</f>
        <v>4.2440286000042444E-4</v>
      </c>
    </row>
    <row r="101" spans="1:19" s="1" customFormat="1" ht="19.7" customHeight="1" x14ac:dyDescent="0.2">
      <c r="A101" s="3">
        <v>388390</v>
      </c>
      <c r="B101" s="4" t="s">
        <v>0</v>
      </c>
      <c r="C101" s="5">
        <v>703426</v>
      </c>
      <c r="D101" s="4" t="s">
        <v>89</v>
      </c>
      <c r="E101" s="4" t="s">
        <v>113</v>
      </c>
      <c r="F101" s="4" t="s">
        <v>114</v>
      </c>
      <c r="G101" s="4" t="s">
        <v>91</v>
      </c>
      <c r="H101" s="6">
        <v>42807</v>
      </c>
      <c r="I101" s="4" t="s">
        <v>92</v>
      </c>
      <c r="J101" s="32">
        <v>78933</v>
      </c>
      <c r="K101" s="4" t="s">
        <v>80</v>
      </c>
      <c r="L101" s="2">
        <v>10</v>
      </c>
      <c r="M101" s="16" t="s">
        <v>20</v>
      </c>
      <c r="N101" s="7">
        <v>8.86</v>
      </c>
      <c r="O101" s="48">
        <f t="shared" si="9"/>
        <v>2.4482593559617056</v>
      </c>
      <c r="P101" s="44">
        <f t="shared" si="10"/>
        <v>33.506877545691907</v>
      </c>
      <c r="Q101" s="54">
        <f>P101*L101/100/21.7</f>
        <v>0.1544095739432807</v>
      </c>
      <c r="R101" s="50">
        <v>121.25796</v>
      </c>
      <c r="S101" s="54">
        <f>R101*L101/100</f>
        <v>12.125796000000001</v>
      </c>
    </row>
    <row r="102" spans="1:19" s="1" customFormat="1" ht="28.7" customHeight="1" x14ac:dyDescent="0.2">
      <c r="N102" s="8"/>
      <c r="O102" s="8"/>
      <c r="P102" s="8"/>
      <c r="S102" s="1">
        <f>SUBTOTAL(9,S4:S101)</f>
        <v>169.26695639349501</v>
      </c>
    </row>
  </sheetData>
  <autoFilter ref="A3:V101" xr:uid="{23594EB7-8374-41BE-BDD0-4D53F9DFFD34}"/>
  <mergeCells count="1">
    <mergeCell ref="A1:B1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DEA1-CB8A-45BB-B0C7-8F2469AAC292}">
  <dimension ref="A1:U79"/>
  <sheetViews>
    <sheetView topLeftCell="C40" workbookViewId="0">
      <selection activeCell="S51" sqref="S51"/>
    </sheetView>
  </sheetViews>
  <sheetFormatPr defaultRowHeight="12.75" x14ac:dyDescent="0.2"/>
  <cols>
    <col min="3" max="3" width="20.85546875" customWidth="1"/>
    <col min="4" max="4" width="19.85546875" customWidth="1"/>
    <col min="6" max="6" width="18.7109375" customWidth="1"/>
    <col min="7" max="7" width="18.7109375" style="62" customWidth="1"/>
    <col min="17" max="17" width="34.85546875" customWidth="1"/>
  </cols>
  <sheetData>
    <row r="1" spans="1:21" ht="36.75" thickBot="1" x14ac:dyDescent="0.25">
      <c r="A1" t="s">
        <v>2</v>
      </c>
      <c r="B1" t="s">
        <v>10</v>
      </c>
      <c r="C1" t="s">
        <v>11</v>
      </c>
      <c r="D1" s="63" t="s">
        <v>143</v>
      </c>
      <c r="F1" s="63" t="s">
        <v>143</v>
      </c>
      <c r="G1" s="63" t="s">
        <v>198</v>
      </c>
      <c r="H1" s="63" t="s">
        <v>199</v>
      </c>
      <c r="I1" s="65" t="s">
        <v>141</v>
      </c>
      <c r="J1" s="65" t="s">
        <v>142</v>
      </c>
      <c r="M1" s="63" t="s">
        <v>200</v>
      </c>
      <c r="N1" t="s">
        <v>198</v>
      </c>
      <c r="O1" t="s">
        <v>201</v>
      </c>
      <c r="P1" s="63" t="s">
        <v>199</v>
      </c>
      <c r="Q1" t="s">
        <v>200</v>
      </c>
      <c r="R1" t="s">
        <v>202</v>
      </c>
      <c r="S1" s="65" t="s">
        <v>142</v>
      </c>
      <c r="T1" s="65" t="s">
        <v>141</v>
      </c>
      <c r="U1" t="s">
        <v>203</v>
      </c>
    </row>
    <row r="2" spans="1:21" x14ac:dyDescent="0.2">
      <c r="A2">
        <v>105647</v>
      </c>
      <c r="B2">
        <v>108101</v>
      </c>
      <c r="C2" t="s">
        <v>61</v>
      </c>
      <c r="D2" s="64" t="str">
        <f t="shared" ref="D2:D33" si="0">A2&amp;","&amp;B2</f>
        <v>105647,108101</v>
      </c>
      <c r="F2" t="s">
        <v>144</v>
      </c>
      <c r="G2" s="62">
        <v>105647</v>
      </c>
      <c r="H2">
        <v>108101</v>
      </c>
      <c r="I2">
        <f>SUMIFS(PSB!$Q$4:$Q$101,PSB!$A$4:$A$101,Sheet1!$G2,PSB!$J$4:$J$101,Sheet1!$H2)</f>
        <v>5.4513364055299544E-3</v>
      </c>
      <c r="J2">
        <f>SUMIFS(PSB!$S$4:$S$101,PSB!$A$4:$A$101,Sheet1!$G2,PSB!$J$4:$J$101,Sheet1!$H2)</f>
        <v>0.11829400000000001</v>
      </c>
      <c r="M2">
        <f>G2</f>
        <v>105647</v>
      </c>
      <c r="N2">
        <v>360</v>
      </c>
      <c r="O2">
        <v>1</v>
      </c>
      <c r="P2">
        <f>H2</f>
        <v>108101</v>
      </c>
      <c r="Q2" t="str">
        <f t="shared" ref="Q2:Q33" si="1">VLOOKUP(P2,B:C,2,FALSE)</f>
        <v>METHYL ISOBUTYL KETONE</v>
      </c>
      <c r="R2">
        <v>1</v>
      </c>
      <c r="S2" s="66">
        <f>J2</f>
        <v>0.11829400000000001</v>
      </c>
      <c r="T2" s="66">
        <f>I2</f>
        <v>5.4513364055299544E-3</v>
      </c>
      <c r="U2">
        <v>1</v>
      </c>
    </row>
    <row r="3" spans="1:21" x14ac:dyDescent="0.2">
      <c r="A3">
        <v>105647</v>
      </c>
      <c r="B3">
        <v>108883</v>
      </c>
      <c r="C3" t="s">
        <v>63</v>
      </c>
      <c r="D3" s="64" t="str">
        <f t="shared" si="0"/>
        <v>105647,108883</v>
      </c>
      <c r="M3">
        <f t="shared" ref="M3:M4" si="2">G4</f>
        <v>105647</v>
      </c>
      <c r="N3">
        <f>IF(M3&lt;&gt;M2,N2+1,N2)</f>
        <v>360</v>
      </c>
      <c r="O3">
        <v>1</v>
      </c>
      <c r="P3">
        <f t="shared" ref="P3:P4" si="3">H4</f>
        <v>108883</v>
      </c>
      <c r="Q3" t="str">
        <f t="shared" si="1"/>
        <v>TOLUENE</v>
      </c>
      <c r="R3">
        <v>1</v>
      </c>
      <c r="S3" s="66">
        <f t="shared" ref="S3:S4" si="4">J4</f>
        <v>0.84599999999999997</v>
      </c>
      <c r="T3" s="66">
        <f t="shared" ref="T3:T4" si="5">I4</f>
        <v>1.9493087557603688E-2</v>
      </c>
      <c r="U3">
        <v>1</v>
      </c>
    </row>
    <row r="4" spans="1:21" x14ac:dyDescent="0.2">
      <c r="A4">
        <v>105647</v>
      </c>
      <c r="B4">
        <v>1330207</v>
      </c>
      <c r="C4" t="s">
        <v>27</v>
      </c>
      <c r="D4" s="64" t="str">
        <f t="shared" si="0"/>
        <v>105647,1330207</v>
      </c>
      <c r="F4" t="s">
        <v>145</v>
      </c>
      <c r="G4" s="62">
        <v>105647</v>
      </c>
      <c r="H4">
        <v>108883</v>
      </c>
      <c r="I4">
        <f>SUMIFS(PSB!$Q$4:$Q$101,PSB!$A$4:$A$101,Sheet1!$G4,PSB!$J$4:$J$101,Sheet1!$H4)</f>
        <v>1.9493087557603688E-2</v>
      </c>
      <c r="J4">
        <f>SUMIFS(PSB!$S$4:$S$101,PSB!$A$4:$A$101,Sheet1!$G4,PSB!$J$4:$J$101,Sheet1!$H4)</f>
        <v>0.84599999999999997</v>
      </c>
      <c r="M4">
        <f t="shared" si="2"/>
        <v>105647</v>
      </c>
      <c r="N4">
        <f t="shared" ref="N4" si="6">IF(M4&lt;&gt;M3,N3+1,N3)</f>
        <v>360</v>
      </c>
      <c r="O4">
        <v>1</v>
      </c>
      <c r="P4">
        <f t="shared" si="3"/>
        <v>1330207</v>
      </c>
      <c r="Q4" t="str">
        <f t="shared" si="1"/>
        <v>XYLENE</v>
      </c>
      <c r="R4">
        <v>1</v>
      </c>
      <c r="S4" s="66">
        <f t="shared" si="4"/>
        <v>0.44525861600000005</v>
      </c>
      <c r="T4" s="66">
        <f t="shared" si="5"/>
        <v>2.0518830230414748E-2</v>
      </c>
      <c r="U4">
        <v>1</v>
      </c>
    </row>
    <row r="5" spans="1:21" x14ac:dyDescent="0.2">
      <c r="A5">
        <v>107926</v>
      </c>
      <c r="B5">
        <v>1221</v>
      </c>
      <c r="C5" t="s">
        <v>136</v>
      </c>
      <c r="D5" s="64" t="str">
        <f t="shared" si="0"/>
        <v>107926,1221</v>
      </c>
      <c r="F5" t="s">
        <v>146</v>
      </c>
      <c r="G5" s="62">
        <v>105647</v>
      </c>
      <c r="H5">
        <v>1330207</v>
      </c>
      <c r="I5">
        <f>SUMIFS(PSB!$Q$4:$Q$101,PSB!$A$4:$A$101,Sheet1!$G5,PSB!$J$4:$J$101,Sheet1!$H5)</f>
        <v>2.0518830230414748E-2</v>
      </c>
      <c r="J5">
        <f>SUMIFS(PSB!$S$4:$S$101,PSB!$A$4:$A$101,Sheet1!$G5,PSB!$J$4:$J$101,Sheet1!$H5)</f>
        <v>0.44525861600000005</v>
      </c>
      <c r="M5">
        <f>G6</f>
        <v>107926</v>
      </c>
      <c r="N5">
        <f t="shared" ref="N5:N55" si="7">IF(M5&lt;&gt;M4,N4+1,N4)</f>
        <v>361</v>
      </c>
      <c r="O5">
        <v>1</v>
      </c>
      <c r="P5">
        <f>H6</f>
        <v>100414</v>
      </c>
      <c r="Q5" t="str">
        <f t="shared" si="1"/>
        <v>ETHYLBENZENE</v>
      </c>
      <c r="R5">
        <v>1</v>
      </c>
      <c r="S5" s="66">
        <f>J6</f>
        <v>0.41438976400000005</v>
      </c>
      <c r="T5" s="66">
        <f>I6</f>
        <v>1.0555766451612903E-2</v>
      </c>
      <c r="U5">
        <v>1</v>
      </c>
    </row>
    <row r="6" spans="1:21" x14ac:dyDescent="0.2">
      <c r="A6">
        <v>107926</v>
      </c>
      <c r="B6">
        <v>1221</v>
      </c>
      <c r="C6" t="s">
        <v>136</v>
      </c>
      <c r="D6" s="64" t="str">
        <f t="shared" si="0"/>
        <v>107926,1221</v>
      </c>
      <c r="F6" t="s">
        <v>147</v>
      </c>
      <c r="G6" s="62">
        <v>107926</v>
      </c>
      <c r="H6">
        <v>100414</v>
      </c>
      <c r="I6">
        <f>SUMIFS(PSB!$Q$4:$Q$101,PSB!$A$4:$A$101,Sheet1!$G6,PSB!$J$4:$J$101,Sheet1!$H6)</f>
        <v>1.0555766451612903E-2</v>
      </c>
      <c r="J6">
        <f>SUMIFS(PSB!$S$4:$S$101,PSB!$A$4:$A$101,Sheet1!$G6,PSB!$J$4:$J$101,Sheet1!$H6)</f>
        <v>0.41438976400000005</v>
      </c>
      <c r="M6">
        <f>G7</f>
        <v>107926</v>
      </c>
      <c r="N6">
        <f t="shared" si="7"/>
        <v>361</v>
      </c>
      <c r="O6">
        <v>1</v>
      </c>
      <c r="P6">
        <f>H7</f>
        <v>107982</v>
      </c>
      <c r="Q6" t="str">
        <f t="shared" si="1"/>
        <v>PROPYLENE GLYCOL MONOMETHYL ETHER</v>
      </c>
      <c r="R6">
        <v>1</v>
      </c>
      <c r="S6" s="66">
        <f>J7</f>
        <v>0.42145000000000005</v>
      </c>
      <c r="T6" s="66">
        <f>I7</f>
        <v>1.9421658986175119E-2</v>
      </c>
      <c r="U6">
        <v>1</v>
      </c>
    </row>
    <row r="7" spans="1:21" x14ac:dyDescent="0.2">
      <c r="A7">
        <v>107926</v>
      </c>
      <c r="B7">
        <v>100414</v>
      </c>
      <c r="C7" t="s">
        <v>47</v>
      </c>
      <c r="D7" s="64" t="str">
        <f t="shared" si="0"/>
        <v>107926,100414</v>
      </c>
      <c r="F7" t="s">
        <v>148</v>
      </c>
      <c r="G7" s="62">
        <v>107926</v>
      </c>
      <c r="H7">
        <v>107982</v>
      </c>
      <c r="I7">
        <f>SUMIFS(PSB!$Q$4:$Q$101,PSB!$A$4:$A$101,Sheet1!$G7,PSB!$J$4:$J$101,Sheet1!$H7)</f>
        <v>1.9421658986175119E-2</v>
      </c>
      <c r="J7">
        <f>SUMIFS(PSB!$S$4:$S$101,PSB!$A$4:$A$101,Sheet1!$G7,PSB!$J$4:$J$101,Sheet1!$H7)</f>
        <v>0.42145000000000005</v>
      </c>
      <c r="M7">
        <f>G8</f>
        <v>107926</v>
      </c>
      <c r="N7">
        <f t="shared" si="7"/>
        <v>361</v>
      </c>
      <c r="O7">
        <v>1</v>
      </c>
      <c r="P7">
        <f>H8</f>
        <v>111762</v>
      </c>
      <c r="Q7" t="str">
        <f t="shared" si="1"/>
        <v>ETHYLENE GLYCOL MONOBUTYL ETHER</v>
      </c>
      <c r="R7">
        <v>1</v>
      </c>
      <c r="S7" s="66">
        <f>J8</f>
        <v>0.59078560000000002</v>
      </c>
      <c r="T7" s="66">
        <f>I8</f>
        <v>2.7225142857142861E-2</v>
      </c>
      <c r="U7">
        <v>1</v>
      </c>
    </row>
    <row r="8" spans="1:21" x14ac:dyDescent="0.2">
      <c r="A8">
        <v>107926</v>
      </c>
      <c r="B8">
        <v>100414</v>
      </c>
      <c r="C8" t="s">
        <v>47</v>
      </c>
      <c r="D8" s="64" t="str">
        <f t="shared" si="0"/>
        <v>107926,100414</v>
      </c>
      <c r="F8" t="s">
        <v>149</v>
      </c>
      <c r="G8" s="62">
        <v>107926</v>
      </c>
      <c r="H8">
        <v>111762</v>
      </c>
      <c r="I8">
        <f>SUMIFS(PSB!$Q$4:$Q$101,PSB!$A$4:$A$101,Sheet1!$G8,PSB!$J$4:$J$101,Sheet1!$H8)</f>
        <v>2.7225142857142861E-2</v>
      </c>
      <c r="J8">
        <f>SUMIFS(PSB!$S$4:$S$101,PSB!$A$4:$A$101,Sheet1!$G8,PSB!$J$4:$J$101,Sheet1!$H8)</f>
        <v>0.59078560000000002</v>
      </c>
      <c r="M8">
        <f>G9</f>
        <v>107926</v>
      </c>
      <c r="N8">
        <f t="shared" si="7"/>
        <v>361</v>
      </c>
      <c r="O8">
        <v>1</v>
      </c>
      <c r="P8">
        <f>H9</f>
        <v>121448</v>
      </c>
      <c r="Q8" t="str">
        <f t="shared" si="1"/>
        <v>TRIETHYLAMINE</v>
      </c>
      <c r="R8">
        <v>1</v>
      </c>
      <c r="S8" s="66">
        <f>J9</f>
        <v>0.42145000000000005</v>
      </c>
      <c r="T8" s="66">
        <f>I9</f>
        <v>1.9421658986175119E-2</v>
      </c>
      <c r="U8">
        <v>1</v>
      </c>
    </row>
    <row r="9" spans="1:21" x14ac:dyDescent="0.2">
      <c r="A9">
        <v>107926</v>
      </c>
      <c r="B9">
        <v>100414</v>
      </c>
      <c r="C9" t="s">
        <v>47</v>
      </c>
      <c r="D9" s="64" t="str">
        <f t="shared" si="0"/>
        <v>107926,100414</v>
      </c>
      <c r="F9" t="s">
        <v>150</v>
      </c>
      <c r="G9" s="62">
        <v>107926</v>
      </c>
      <c r="H9">
        <v>121448</v>
      </c>
      <c r="I9">
        <f>SUMIFS(PSB!$Q$4:$Q$101,PSB!$A$4:$A$101,Sheet1!$G9,PSB!$J$4:$J$101,Sheet1!$H9)</f>
        <v>1.9421658986175119E-2</v>
      </c>
      <c r="J9">
        <f>SUMIFS(PSB!$S$4:$S$101,PSB!$A$4:$A$101,Sheet1!$G9,PSB!$J$4:$J$101,Sheet1!$H9)</f>
        <v>0.42145000000000005</v>
      </c>
      <c r="M9">
        <f>G10</f>
        <v>107926</v>
      </c>
      <c r="N9">
        <f t="shared" si="7"/>
        <v>361</v>
      </c>
      <c r="O9">
        <v>1</v>
      </c>
      <c r="P9">
        <f>H10</f>
        <v>1221</v>
      </c>
      <c r="Q9" t="str">
        <f t="shared" si="1"/>
        <v>HOMOPOLYMER OF HEXAMETHYLENE DIISOCYANATE</v>
      </c>
      <c r="R9">
        <v>1</v>
      </c>
      <c r="S9" s="66">
        <f>J10</f>
        <v>0.42115065374999999</v>
      </c>
      <c r="T9" s="66">
        <f>I10</f>
        <v>1.3356430385944701E-2</v>
      </c>
      <c r="U9">
        <v>1</v>
      </c>
    </row>
    <row r="10" spans="1:21" x14ac:dyDescent="0.2">
      <c r="A10">
        <v>107926</v>
      </c>
      <c r="B10">
        <v>107982</v>
      </c>
      <c r="C10" t="s">
        <v>43</v>
      </c>
      <c r="D10" s="64" t="str">
        <f t="shared" si="0"/>
        <v>107926,107982</v>
      </c>
      <c r="F10" t="s">
        <v>151</v>
      </c>
      <c r="G10" s="62">
        <v>107926</v>
      </c>
      <c r="H10">
        <v>1221</v>
      </c>
      <c r="I10">
        <f>SUMIFS(PSB!$Q$4:$Q$101,PSB!$A$4:$A$101,Sheet1!$G10,PSB!$J$4:$J$101,Sheet1!$H10)</f>
        <v>1.3356430385944701E-2</v>
      </c>
      <c r="J10">
        <f>SUMIFS(PSB!$S$4:$S$101,PSB!$A$4:$A$101,Sheet1!$G10,PSB!$J$4:$J$101,Sheet1!$H10)</f>
        <v>0.42115065374999999</v>
      </c>
      <c r="M10">
        <f t="shared" ref="M10:M16" si="8">G12</f>
        <v>107926</v>
      </c>
      <c r="N10">
        <f t="shared" si="7"/>
        <v>361</v>
      </c>
      <c r="O10">
        <v>1</v>
      </c>
      <c r="P10">
        <f t="shared" ref="P10:P16" si="9">H12</f>
        <v>1330207</v>
      </c>
      <c r="Q10" t="str">
        <f t="shared" si="1"/>
        <v>XYLENE</v>
      </c>
      <c r="R10">
        <v>1</v>
      </c>
      <c r="S10" s="66">
        <f t="shared" ref="S10:S16" si="10">J12</f>
        <v>1.5036584999999998</v>
      </c>
      <c r="T10" s="66">
        <f t="shared" ref="T10:T16" si="11">I12</f>
        <v>4.4534101382488478E-2</v>
      </c>
      <c r="U10">
        <v>1</v>
      </c>
    </row>
    <row r="11" spans="1:21" x14ac:dyDescent="0.2">
      <c r="A11">
        <v>107926</v>
      </c>
      <c r="B11">
        <v>111762</v>
      </c>
      <c r="C11" t="s">
        <v>32</v>
      </c>
      <c r="D11" s="64" t="str">
        <f t="shared" si="0"/>
        <v>107926,111762</v>
      </c>
      <c r="M11">
        <f t="shared" si="8"/>
        <v>107926</v>
      </c>
      <c r="N11">
        <f t="shared" si="7"/>
        <v>361</v>
      </c>
      <c r="O11">
        <v>1</v>
      </c>
      <c r="P11">
        <f t="shared" si="9"/>
        <v>136527</v>
      </c>
      <c r="Q11" t="str">
        <f t="shared" si="1"/>
        <v>COBALT 2-ETHYLHEXANOATE</v>
      </c>
      <c r="R11">
        <v>1</v>
      </c>
      <c r="S11" s="66">
        <f t="shared" si="10"/>
        <v>4.2111090000000007E-4</v>
      </c>
      <c r="T11" s="66">
        <f t="shared" si="11"/>
        <v>1.9406032258064519E-5</v>
      </c>
      <c r="U11">
        <v>1</v>
      </c>
    </row>
    <row r="12" spans="1:21" x14ac:dyDescent="0.2">
      <c r="A12">
        <v>107926</v>
      </c>
      <c r="B12">
        <v>111762</v>
      </c>
      <c r="C12" t="s">
        <v>32</v>
      </c>
      <c r="D12" s="64" t="str">
        <f t="shared" si="0"/>
        <v>107926,111762</v>
      </c>
      <c r="F12" t="s">
        <v>152</v>
      </c>
      <c r="G12" s="62">
        <v>107926</v>
      </c>
      <c r="H12">
        <v>1330207</v>
      </c>
      <c r="I12">
        <f>SUMIFS(PSB!$Q$4:$Q$101,PSB!$A$4:$A$101,Sheet1!$G12,PSB!$J$4:$J$101,Sheet1!$H12)</f>
        <v>4.4534101382488478E-2</v>
      </c>
      <c r="J12">
        <f>SUMIFS(PSB!$S$4:$S$101,PSB!$A$4:$A$101,Sheet1!$G12,PSB!$J$4:$J$101,Sheet1!$H12)</f>
        <v>1.5036584999999998</v>
      </c>
      <c r="M12">
        <f t="shared" si="8"/>
        <v>107926</v>
      </c>
      <c r="N12">
        <f t="shared" si="7"/>
        <v>361</v>
      </c>
      <c r="O12">
        <v>1</v>
      </c>
      <c r="P12">
        <f t="shared" si="9"/>
        <v>540885</v>
      </c>
      <c r="Q12" t="str">
        <f t="shared" si="1"/>
        <v>TERT-BUTYL ACETATE</v>
      </c>
      <c r="R12">
        <v>1</v>
      </c>
      <c r="S12" s="66">
        <f t="shared" si="10"/>
        <v>7.5755400000000001E-2</v>
      </c>
      <c r="T12" s="66">
        <f t="shared" si="11"/>
        <v>3.4910322580645162E-3</v>
      </c>
      <c r="U12">
        <v>1</v>
      </c>
    </row>
    <row r="13" spans="1:21" x14ac:dyDescent="0.2">
      <c r="A13">
        <v>107926</v>
      </c>
      <c r="B13">
        <v>121448</v>
      </c>
      <c r="C13" t="s">
        <v>44</v>
      </c>
      <c r="D13" s="64" t="str">
        <f t="shared" si="0"/>
        <v>107926,121448</v>
      </c>
      <c r="F13" t="s">
        <v>153</v>
      </c>
      <c r="G13" s="62">
        <v>107926</v>
      </c>
      <c r="H13">
        <v>136527</v>
      </c>
      <c r="I13">
        <f>SUMIFS(PSB!$Q$4:$Q$101,PSB!$A$4:$A$101,Sheet1!$G13,PSB!$J$4:$J$101,Sheet1!$H13)</f>
        <v>1.9406032258064519E-5</v>
      </c>
      <c r="J13">
        <f>SUMIFS(PSB!$S$4:$S$101,PSB!$A$4:$A$101,Sheet1!$G13,PSB!$J$4:$J$101,Sheet1!$H13)</f>
        <v>4.2111090000000007E-4</v>
      </c>
      <c r="M13">
        <f t="shared" si="8"/>
        <v>107926</v>
      </c>
      <c r="N13">
        <f t="shared" si="7"/>
        <v>361</v>
      </c>
      <c r="O13">
        <v>1</v>
      </c>
      <c r="P13">
        <f t="shared" si="9"/>
        <v>822060</v>
      </c>
      <c r="Q13" t="str">
        <f t="shared" si="1"/>
        <v>HEXAMETHYLENE-1,6-DIISOCYANATE</v>
      </c>
      <c r="R13">
        <v>1</v>
      </c>
      <c r="S13" s="66">
        <f t="shared" si="10"/>
        <v>3.1962383749999995E-3</v>
      </c>
      <c r="T13" s="66">
        <f t="shared" si="11"/>
        <v>8.0053937211981566E-5</v>
      </c>
      <c r="U13">
        <v>1</v>
      </c>
    </row>
    <row r="14" spans="1:21" x14ac:dyDescent="0.2">
      <c r="A14">
        <v>107926</v>
      </c>
      <c r="B14">
        <v>136527</v>
      </c>
      <c r="C14" t="s">
        <v>53</v>
      </c>
      <c r="D14" s="64" t="str">
        <f t="shared" si="0"/>
        <v>107926,136527</v>
      </c>
      <c r="F14" t="s">
        <v>154</v>
      </c>
      <c r="G14" s="62">
        <v>107926</v>
      </c>
      <c r="H14">
        <v>540885</v>
      </c>
      <c r="I14">
        <f>SUMIFS(PSB!$Q$4:$Q$101,PSB!$A$4:$A$101,Sheet1!$G14,PSB!$J$4:$J$101,Sheet1!$H14)</f>
        <v>3.4910322580645162E-3</v>
      </c>
      <c r="J14">
        <f>SUMIFS(PSB!$S$4:$S$101,PSB!$A$4:$A$101,Sheet1!$G14,PSB!$J$4:$J$101,Sheet1!$H14)</f>
        <v>7.5755400000000001E-2</v>
      </c>
      <c r="M14">
        <f t="shared" si="8"/>
        <v>107930</v>
      </c>
      <c r="N14">
        <f t="shared" si="7"/>
        <v>362</v>
      </c>
      <c r="O14">
        <v>1</v>
      </c>
      <c r="P14">
        <f t="shared" si="9"/>
        <v>100414</v>
      </c>
      <c r="Q14" t="str">
        <f t="shared" si="1"/>
        <v>ETHYLBENZENE</v>
      </c>
      <c r="R14">
        <v>1</v>
      </c>
      <c r="S14" s="66">
        <f t="shared" si="10"/>
        <v>0.40617719999999996</v>
      </c>
      <c r="T14" s="66">
        <f t="shared" si="11"/>
        <v>7.9990783410138263E-3</v>
      </c>
      <c r="U14">
        <v>1</v>
      </c>
    </row>
    <row r="15" spans="1:21" x14ac:dyDescent="0.2">
      <c r="A15">
        <v>107926</v>
      </c>
      <c r="B15">
        <v>540885</v>
      </c>
      <c r="C15" t="s">
        <v>23</v>
      </c>
      <c r="D15" s="64" t="str">
        <f t="shared" si="0"/>
        <v>107926,540885</v>
      </c>
      <c r="F15" t="s">
        <v>155</v>
      </c>
      <c r="G15" s="62">
        <v>107926</v>
      </c>
      <c r="H15">
        <v>822060</v>
      </c>
      <c r="I15">
        <f>SUMIFS(PSB!$Q$4:$Q$101,PSB!$A$4:$A$101,Sheet1!$G15,PSB!$J$4:$J$101,Sheet1!$H15)</f>
        <v>8.0053937211981566E-5</v>
      </c>
      <c r="J15">
        <f>SUMIFS(PSB!$S$4:$S$101,PSB!$A$4:$A$101,Sheet1!$G15,PSB!$J$4:$J$101,Sheet1!$H15)</f>
        <v>3.1962383749999995E-3</v>
      </c>
      <c r="M15">
        <f t="shared" si="8"/>
        <v>107930</v>
      </c>
      <c r="N15">
        <f t="shared" si="7"/>
        <v>362</v>
      </c>
      <c r="O15">
        <v>1</v>
      </c>
      <c r="P15">
        <f t="shared" si="9"/>
        <v>108101</v>
      </c>
      <c r="Q15" t="str">
        <f t="shared" si="1"/>
        <v>METHYL ISOBUTYL KETONE</v>
      </c>
      <c r="R15">
        <v>1</v>
      </c>
      <c r="S15" s="66">
        <f t="shared" si="10"/>
        <v>7.5698279999999998E-3</v>
      </c>
      <c r="T15" s="66">
        <f t="shared" si="11"/>
        <v>1.7442E-4</v>
      </c>
      <c r="U15">
        <v>1</v>
      </c>
    </row>
    <row r="16" spans="1:21" x14ac:dyDescent="0.2">
      <c r="A16">
        <v>107926</v>
      </c>
      <c r="B16">
        <v>822060</v>
      </c>
      <c r="C16" t="s">
        <v>50</v>
      </c>
      <c r="D16" s="64" t="str">
        <f t="shared" si="0"/>
        <v>107926,822060</v>
      </c>
      <c r="F16" t="s">
        <v>156</v>
      </c>
      <c r="G16" s="62">
        <v>107930</v>
      </c>
      <c r="H16">
        <v>100414</v>
      </c>
      <c r="I16">
        <f>SUMIFS(PSB!$Q$4:$Q$101,PSB!$A$4:$A$101,Sheet1!$G16,PSB!$J$4:$J$101,Sheet1!$H16)</f>
        <v>7.9990783410138263E-3</v>
      </c>
      <c r="J16">
        <f>SUMIFS(PSB!$S$4:$S$101,PSB!$A$4:$A$101,Sheet1!$G16,PSB!$J$4:$J$101,Sheet1!$H16)</f>
        <v>0.40617719999999996</v>
      </c>
      <c r="M16">
        <f t="shared" si="8"/>
        <v>107930</v>
      </c>
      <c r="N16">
        <f t="shared" si="7"/>
        <v>362</v>
      </c>
      <c r="O16">
        <v>1</v>
      </c>
      <c r="P16">
        <f t="shared" si="9"/>
        <v>108883</v>
      </c>
      <c r="Q16" t="str">
        <f t="shared" si="1"/>
        <v>TOLUENE</v>
      </c>
      <c r="R16">
        <v>1</v>
      </c>
      <c r="S16" s="66">
        <f t="shared" si="10"/>
        <v>4.8637139999999995E-2</v>
      </c>
      <c r="T16" s="66">
        <f t="shared" si="11"/>
        <v>1.1206714285714285E-3</v>
      </c>
      <c r="U16">
        <v>1</v>
      </c>
    </row>
    <row r="17" spans="1:21" x14ac:dyDescent="0.2">
      <c r="A17">
        <v>107926</v>
      </c>
      <c r="B17">
        <v>822060</v>
      </c>
      <c r="C17" t="s">
        <v>50</v>
      </c>
      <c r="D17" s="64" t="str">
        <f t="shared" si="0"/>
        <v>107926,822060</v>
      </c>
      <c r="F17" t="s">
        <v>157</v>
      </c>
      <c r="G17" s="62">
        <v>107930</v>
      </c>
      <c r="H17">
        <v>108101</v>
      </c>
      <c r="I17">
        <f>SUMIFS(PSB!$Q$4:$Q$101,PSB!$A$4:$A$101,Sheet1!$G17,PSB!$J$4:$J$101,Sheet1!$H17)</f>
        <v>1.7442E-4</v>
      </c>
      <c r="J17">
        <f>SUMIFS(PSB!$S$4:$S$101,PSB!$A$4:$A$101,Sheet1!$G17,PSB!$J$4:$J$101,Sheet1!$H17)</f>
        <v>7.5698279999999998E-3</v>
      </c>
      <c r="M17">
        <f>G20</f>
        <v>107930</v>
      </c>
      <c r="N17">
        <f t="shared" si="7"/>
        <v>362</v>
      </c>
      <c r="O17">
        <v>1</v>
      </c>
      <c r="P17">
        <f>H20</f>
        <v>1330207</v>
      </c>
      <c r="Q17" t="str">
        <f t="shared" si="1"/>
        <v>XYLENE</v>
      </c>
      <c r="R17">
        <v>1</v>
      </c>
      <c r="S17" s="66">
        <f>J20</f>
        <v>1.0154429999999999</v>
      </c>
      <c r="T17" s="66">
        <f>I20</f>
        <v>1.9997695852534567E-2</v>
      </c>
      <c r="U17">
        <v>1</v>
      </c>
    </row>
    <row r="18" spans="1:21" x14ac:dyDescent="0.2">
      <c r="A18">
        <v>107926</v>
      </c>
      <c r="B18">
        <v>1330207</v>
      </c>
      <c r="C18" t="s">
        <v>27</v>
      </c>
      <c r="D18" s="64" t="str">
        <f t="shared" si="0"/>
        <v>107926,1330207</v>
      </c>
      <c r="F18" t="s">
        <v>158</v>
      </c>
      <c r="G18" s="62">
        <v>107930</v>
      </c>
      <c r="H18">
        <v>108883</v>
      </c>
      <c r="I18">
        <f>SUMIFS(PSB!$Q$4:$Q$101,PSB!$A$4:$A$101,Sheet1!$G18,PSB!$J$4:$J$101,Sheet1!$H18)</f>
        <v>1.1206714285714285E-3</v>
      </c>
      <c r="J18">
        <f>SUMIFS(PSB!$S$4:$S$101,PSB!$A$4:$A$101,Sheet1!$G18,PSB!$J$4:$J$101,Sheet1!$H18)</f>
        <v>4.8637139999999995E-2</v>
      </c>
      <c r="M18">
        <f>G22</f>
        <v>107930</v>
      </c>
      <c r="N18">
        <f t="shared" si="7"/>
        <v>362</v>
      </c>
      <c r="O18">
        <v>1</v>
      </c>
      <c r="P18">
        <f>H22</f>
        <v>67630</v>
      </c>
      <c r="Q18" t="str">
        <f t="shared" si="1"/>
        <v>2-HYDROXYPROPANE</v>
      </c>
      <c r="R18">
        <v>1</v>
      </c>
      <c r="S18" s="66">
        <f>J22</f>
        <v>0.20378599999999999</v>
      </c>
      <c r="T18" s="66">
        <f>I22</f>
        <v>5.2931428571428565E-3</v>
      </c>
      <c r="U18">
        <v>1</v>
      </c>
    </row>
    <row r="19" spans="1:21" x14ac:dyDescent="0.2">
      <c r="A19">
        <v>107926</v>
      </c>
      <c r="B19">
        <v>1330207</v>
      </c>
      <c r="C19" t="s">
        <v>27</v>
      </c>
      <c r="D19" s="64" t="str">
        <f t="shared" si="0"/>
        <v>107926,1330207</v>
      </c>
      <c r="M19">
        <f>G24</f>
        <v>107930</v>
      </c>
      <c r="N19">
        <f t="shared" si="7"/>
        <v>362</v>
      </c>
      <c r="O19">
        <v>1</v>
      </c>
      <c r="P19">
        <f>H24</f>
        <v>78933</v>
      </c>
      <c r="Q19" t="str">
        <f t="shared" si="1"/>
        <v>METHYL ETHYL KETONE</v>
      </c>
      <c r="R19">
        <v>1</v>
      </c>
      <c r="S19" s="66">
        <f>J24</f>
        <v>0.35857079999999997</v>
      </c>
      <c r="T19" s="66">
        <f>I24</f>
        <v>8.2620000000000002E-3</v>
      </c>
      <c r="U19">
        <v>1</v>
      </c>
    </row>
    <row r="20" spans="1:21" x14ac:dyDescent="0.2">
      <c r="A20">
        <v>107930</v>
      </c>
      <c r="B20">
        <v>67630</v>
      </c>
      <c r="C20" t="s">
        <v>85</v>
      </c>
      <c r="D20" s="64" t="str">
        <f t="shared" si="0"/>
        <v>107930,67630</v>
      </c>
      <c r="F20" t="s">
        <v>159</v>
      </c>
      <c r="G20" s="62">
        <v>107930</v>
      </c>
      <c r="H20">
        <v>1330207</v>
      </c>
      <c r="I20">
        <f>SUMIFS(PSB!$Q$4:$Q$101,PSB!$A$4:$A$101,Sheet1!$G20,PSB!$J$4:$J$101,Sheet1!$H20)</f>
        <v>1.9997695852534567E-2</v>
      </c>
      <c r="J20">
        <f>SUMIFS(PSB!$S$4:$S$101,PSB!$A$4:$A$101,Sheet1!$G20,PSB!$J$4:$J$101,Sheet1!$H20)</f>
        <v>1.0154429999999999</v>
      </c>
      <c r="M20">
        <f t="shared" ref="M20:M25" si="12">G26</f>
        <v>108716</v>
      </c>
      <c r="N20">
        <f t="shared" si="7"/>
        <v>363</v>
      </c>
      <c r="O20">
        <v>1</v>
      </c>
      <c r="P20">
        <f t="shared" ref="P20:P25" si="13">H26</f>
        <v>1221</v>
      </c>
      <c r="Q20" t="str">
        <f t="shared" si="1"/>
        <v>HOMOPOLYMER OF HEXAMETHYLENE DIISOCYANATE</v>
      </c>
      <c r="R20">
        <v>1</v>
      </c>
      <c r="S20" s="66">
        <f t="shared" ref="S20:S25" si="14">J26</f>
        <v>0.67918499999999993</v>
      </c>
      <c r="T20" s="66">
        <f t="shared" ref="T20:T25" si="15">I26</f>
        <v>2.0865898617511518E-2</v>
      </c>
      <c r="U20">
        <v>1</v>
      </c>
    </row>
    <row r="21" spans="1:21" x14ac:dyDescent="0.2">
      <c r="A21">
        <v>107930</v>
      </c>
      <c r="B21">
        <v>78933</v>
      </c>
      <c r="C21" t="s">
        <v>80</v>
      </c>
      <c r="D21" s="64" t="str">
        <f t="shared" si="0"/>
        <v>107930,78933</v>
      </c>
      <c r="M21">
        <f t="shared" si="12"/>
        <v>108716</v>
      </c>
      <c r="N21">
        <f t="shared" si="7"/>
        <v>363</v>
      </c>
      <c r="O21">
        <v>1</v>
      </c>
      <c r="P21">
        <f t="shared" si="13"/>
        <v>1330207</v>
      </c>
      <c r="Q21" t="str">
        <f t="shared" si="1"/>
        <v>XYLENE</v>
      </c>
      <c r="R21">
        <v>1</v>
      </c>
      <c r="S21" s="66">
        <f t="shared" si="14"/>
        <v>0.31574999999999998</v>
      </c>
      <c r="T21" s="66">
        <f t="shared" si="15"/>
        <v>9.7004608294930864E-3</v>
      </c>
      <c r="U21">
        <v>1</v>
      </c>
    </row>
    <row r="22" spans="1:21" x14ac:dyDescent="0.2">
      <c r="A22">
        <v>107930</v>
      </c>
      <c r="B22">
        <v>100414</v>
      </c>
      <c r="C22" t="s">
        <v>47</v>
      </c>
      <c r="D22" s="64" t="str">
        <f t="shared" si="0"/>
        <v>107930,100414</v>
      </c>
      <c r="F22" t="s">
        <v>160</v>
      </c>
      <c r="G22" s="62">
        <v>107930</v>
      </c>
      <c r="H22">
        <v>67630</v>
      </c>
      <c r="I22">
        <f>SUMIFS(PSB!$Q$4:$Q$101,PSB!$A$4:$A$101,Sheet1!$G22,PSB!$J$4:$J$101,Sheet1!$H22)</f>
        <v>5.2931428571428565E-3</v>
      </c>
      <c r="J22">
        <f>SUMIFS(PSB!$S$4:$S$101,PSB!$A$4:$A$101,Sheet1!$G22,PSB!$J$4:$J$101,Sheet1!$H22)</f>
        <v>0.20378599999999999</v>
      </c>
      <c r="M22">
        <f t="shared" si="12"/>
        <v>108716</v>
      </c>
      <c r="N22">
        <f t="shared" si="7"/>
        <v>363</v>
      </c>
      <c r="O22">
        <v>1</v>
      </c>
      <c r="P22">
        <f t="shared" si="13"/>
        <v>822060</v>
      </c>
      <c r="Q22" t="str">
        <f t="shared" si="1"/>
        <v>HEXAMETHYLENE-1,6-DIISOCYANATE</v>
      </c>
      <c r="R22">
        <v>1</v>
      </c>
      <c r="S22" s="66">
        <f t="shared" si="14"/>
        <v>7.5464999999999994E-3</v>
      </c>
      <c r="T22" s="66">
        <f t="shared" si="15"/>
        <v>2.3184331797235019E-4</v>
      </c>
      <c r="U22">
        <v>1</v>
      </c>
    </row>
    <row r="23" spans="1:21" x14ac:dyDescent="0.2">
      <c r="A23">
        <v>107930</v>
      </c>
      <c r="B23">
        <v>108101</v>
      </c>
      <c r="C23" t="s">
        <v>61</v>
      </c>
      <c r="D23" s="64" t="str">
        <f t="shared" si="0"/>
        <v>107930,108101</v>
      </c>
      <c r="M23">
        <f t="shared" si="12"/>
        <v>113676</v>
      </c>
      <c r="N23">
        <f t="shared" si="7"/>
        <v>364</v>
      </c>
      <c r="O23">
        <v>1</v>
      </c>
      <c r="P23">
        <f t="shared" si="13"/>
        <v>107982</v>
      </c>
      <c r="Q23" t="str">
        <f t="shared" si="1"/>
        <v>PROPYLENE GLYCOL MONOMETHYL ETHER</v>
      </c>
      <c r="R23">
        <v>1</v>
      </c>
      <c r="S23" s="66">
        <f t="shared" si="14"/>
        <v>0.34215000000000001</v>
      </c>
      <c r="T23" s="66">
        <f t="shared" si="15"/>
        <v>1.5767281105990783E-2</v>
      </c>
      <c r="U23">
        <v>1</v>
      </c>
    </row>
    <row r="24" spans="1:21" x14ac:dyDescent="0.2">
      <c r="A24">
        <v>107930</v>
      </c>
      <c r="B24">
        <v>108883</v>
      </c>
      <c r="C24" t="s">
        <v>63</v>
      </c>
      <c r="D24" s="64" t="str">
        <f t="shared" si="0"/>
        <v>107930,108883</v>
      </c>
      <c r="F24" t="s">
        <v>161</v>
      </c>
      <c r="G24" s="62">
        <v>107930</v>
      </c>
      <c r="H24">
        <v>78933</v>
      </c>
      <c r="I24">
        <f>SUMIFS(PSB!$Q$4:$Q$101,PSB!$A$4:$A$101,Sheet1!$G24,PSB!$J$4:$J$101,Sheet1!$H24)</f>
        <v>8.2620000000000002E-3</v>
      </c>
      <c r="J24">
        <f>SUMIFS(PSB!$S$4:$S$101,PSB!$A$4:$A$101,Sheet1!$G24,PSB!$J$4:$J$101,Sheet1!$H24)</f>
        <v>0.35857079999999997</v>
      </c>
      <c r="M24">
        <f t="shared" si="12"/>
        <v>113676</v>
      </c>
      <c r="N24">
        <f t="shared" si="7"/>
        <v>364</v>
      </c>
      <c r="O24">
        <v>1</v>
      </c>
      <c r="P24">
        <f t="shared" si="13"/>
        <v>111762</v>
      </c>
      <c r="Q24" t="str">
        <f t="shared" si="1"/>
        <v>ETHYLENE GLYCOL MONOBUTYL ETHER</v>
      </c>
      <c r="R24">
        <v>1</v>
      </c>
      <c r="S24" s="66">
        <f t="shared" si="14"/>
        <v>0.68430000000000002</v>
      </c>
      <c r="T24" s="66">
        <f t="shared" si="15"/>
        <v>3.1534562211981566E-2</v>
      </c>
      <c r="U24">
        <v>1</v>
      </c>
    </row>
    <row r="25" spans="1:21" x14ac:dyDescent="0.2">
      <c r="A25">
        <v>107930</v>
      </c>
      <c r="B25">
        <v>108883</v>
      </c>
      <c r="C25" t="s">
        <v>63</v>
      </c>
      <c r="D25" s="64" t="str">
        <f t="shared" si="0"/>
        <v>107930,108883</v>
      </c>
      <c r="M25">
        <f t="shared" si="12"/>
        <v>113676</v>
      </c>
      <c r="N25">
        <f t="shared" si="7"/>
        <v>364</v>
      </c>
      <c r="O25">
        <v>1</v>
      </c>
      <c r="P25">
        <f t="shared" si="13"/>
        <v>67630</v>
      </c>
      <c r="Q25" t="str">
        <f t="shared" si="1"/>
        <v>2-HYDROXYPROPANE</v>
      </c>
      <c r="R25">
        <v>1</v>
      </c>
      <c r="S25" s="66">
        <f t="shared" si="14"/>
        <v>0.34215000000000001</v>
      </c>
      <c r="T25" s="66">
        <f t="shared" si="15"/>
        <v>1.5767281105990783E-2</v>
      </c>
      <c r="U25">
        <v>1</v>
      </c>
    </row>
    <row r="26" spans="1:21" x14ac:dyDescent="0.2">
      <c r="A26">
        <v>107930</v>
      </c>
      <c r="B26">
        <v>1330207</v>
      </c>
      <c r="C26" t="s">
        <v>27</v>
      </c>
      <c r="D26" s="64" t="str">
        <f t="shared" si="0"/>
        <v>107930,1330207</v>
      </c>
      <c r="F26" t="s">
        <v>162</v>
      </c>
      <c r="G26" s="62">
        <v>108716</v>
      </c>
      <c r="H26">
        <v>1221</v>
      </c>
      <c r="I26">
        <f>SUMIFS(PSB!$Q$4:$Q$101,PSB!$A$4:$A$101,Sheet1!$G26,PSB!$J$4:$J$101,Sheet1!$H26)</f>
        <v>2.0865898617511518E-2</v>
      </c>
      <c r="J26">
        <f>SUMIFS(PSB!$S$4:$S$101,PSB!$A$4:$A$101,Sheet1!$G26,PSB!$J$4:$J$101,Sheet1!$H26)</f>
        <v>0.67918499999999993</v>
      </c>
      <c r="M26">
        <f>G34</f>
        <v>113676</v>
      </c>
      <c r="N26">
        <f t="shared" si="7"/>
        <v>364</v>
      </c>
      <c r="O26">
        <v>1</v>
      </c>
      <c r="P26">
        <f>H34</f>
        <v>78933</v>
      </c>
      <c r="Q26" t="str">
        <f t="shared" si="1"/>
        <v>METHYL ETHYL KETONE</v>
      </c>
      <c r="R26">
        <v>1</v>
      </c>
      <c r="S26" s="66">
        <f>J34</f>
        <v>0.68430000000000002</v>
      </c>
      <c r="T26" s="66">
        <f>I34</f>
        <v>3.1534562211981566E-2</v>
      </c>
      <c r="U26">
        <v>1</v>
      </c>
    </row>
    <row r="27" spans="1:21" x14ac:dyDescent="0.2">
      <c r="A27">
        <v>108716</v>
      </c>
      <c r="B27">
        <v>1221</v>
      </c>
      <c r="C27" t="s">
        <v>136</v>
      </c>
      <c r="D27" s="64" t="str">
        <f t="shared" si="0"/>
        <v>108716,1221</v>
      </c>
      <c r="F27" t="s">
        <v>163</v>
      </c>
      <c r="G27" s="62">
        <v>108716</v>
      </c>
      <c r="H27">
        <v>1330207</v>
      </c>
      <c r="I27">
        <f>SUMIFS(PSB!$Q$4:$Q$101,PSB!$A$4:$A$101,Sheet1!$G27,PSB!$J$4:$J$101,Sheet1!$H27)</f>
        <v>9.7004608294930864E-3</v>
      </c>
      <c r="J27">
        <f>SUMIFS(PSB!$S$4:$S$101,PSB!$A$4:$A$101,Sheet1!$G27,PSB!$J$4:$J$101,Sheet1!$H27)</f>
        <v>0.31574999999999998</v>
      </c>
      <c r="M27">
        <f>G35</f>
        <v>384028</v>
      </c>
      <c r="N27">
        <f t="shared" si="7"/>
        <v>365</v>
      </c>
      <c r="O27">
        <v>1</v>
      </c>
      <c r="P27">
        <f>H35</f>
        <v>101688</v>
      </c>
      <c r="Q27" t="str">
        <f t="shared" si="1"/>
        <v>4,4'-METHYLENEDI(PHENYL ISOCYANATE)</v>
      </c>
      <c r="R27">
        <v>1</v>
      </c>
      <c r="S27" s="66">
        <f>J35</f>
        <v>6.1404645000000001E-2</v>
      </c>
      <c r="T27" s="66">
        <f>I35</f>
        <v>1.1410109447004611E-3</v>
      </c>
      <c r="U27">
        <v>1</v>
      </c>
    </row>
    <row r="28" spans="1:21" x14ac:dyDescent="0.2">
      <c r="A28">
        <v>108716</v>
      </c>
      <c r="B28">
        <v>822060</v>
      </c>
      <c r="C28" t="s">
        <v>138</v>
      </c>
      <c r="D28" s="64" t="str">
        <f t="shared" si="0"/>
        <v>108716,822060</v>
      </c>
      <c r="F28" t="s">
        <v>164</v>
      </c>
      <c r="G28" s="62">
        <v>108716</v>
      </c>
      <c r="H28">
        <v>822060</v>
      </c>
      <c r="I28">
        <f>SUMIFS(PSB!$Q$4:$Q$101,PSB!$A$4:$A$101,Sheet1!$G28,PSB!$J$4:$J$101,Sheet1!$H28)</f>
        <v>2.3184331797235019E-4</v>
      </c>
      <c r="J28">
        <f>SUMIFS(PSB!$S$4:$S$101,PSB!$A$4:$A$101,Sheet1!$G28,PSB!$J$4:$J$101,Sheet1!$H28)</f>
        <v>7.5464999999999994E-3</v>
      </c>
      <c r="M28">
        <f>G36</f>
        <v>384028</v>
      </c>
      <c r="N28">
        <f t="shared" si="7"/>
        <v>365</v>
      </c>
      <c r="O28">
        <v>1</v>
      </c>
      <c r="P28">
        <f>H36</f>
        <v>111762</v>
      </c>
      <c r="Q28" t="str">
        <f t="shared" si="1"/>
        <v>ETHYLENE GLYCOL MONOBUTYL ETHER</v>
      </c>
      <c r="R28">
        <v>1</v>
      </c>
      <c r="S28" s="66">
        <f>J36</f>
        <v>1.3249109999999999</v>
      </c>
      <c r="T28" s="66">
        <f>I36</f>
        <v>6.1055806451612904E-2</v>
      </c>
      <c r="U28">
        <v>1</v>
      </c>
    </row>
    <row r="29" spans="1:21" x14ac:dyDescent="0.2">
      <c r="A29">
        <v>108716</v>
      </c>
      <c r="B29">
        <v>1330207</v>
      </c>
      <c r="C29" t="s">
        <v>27</v>
      </c>
      <c r="D29" s="64" t="str">
        <f t="shared" si="0"/>
        <v>108716,1330207</v>
      </c>
      <c r="F29" t="s">
        <v>165</v>
      </c>
      <c r="G29" s="62">
        <v>113676</v>
      </c>
      <c r="H29">
        <v>107982</v>
      </c>
      <c r="I29">
        <f>SUMIFS(PSB!$Q$4:$Q$101,PSB!$A$4:$A$101,Sheet1!$G29,PSB!$J$4:$J$101,Sheet1!$H29)</f>
        <v>1.5767281105990783E-2</v>
      </c>
      <c r="J29">
        <f>SUMIFS(PSB!$S$4:$S$101,PSB!$A$4:$A$101,Sheet1!$G29,PSB!$J$4:$J$101,Sheet1!$H29)</f>
        <v>0.34215000000000001</v>
      </c>
      <c r="M29">
        <f>G38</f>
        <v>384028</v>
      </c>
      <c r="N29">
        <f t="shared" si="7"/>
        <v>365</v>
      </c>
      <c r="O29">
        <v>1</v>
      </c>
      <c r="P29">
        <f>H38</f>
        <v>1330207</v>
      </c>
      <c r="Q29" t="str">
        <f t="shared" si="1"/>
        <v>XYLENE</v>
      </c>
      <c r="R29">
        <v>1</v>
      </c>
      <c r="S29" s="66">
        <f>J38</f>
        <v>0.71400750000000002</v>
      </c>
      <c r="T29" s="66">
        <f>I38</f>
        <v>1.3267569124423966E-2</v>
      </c>
      <c r="U29">
        <v>1</v>
      </c>
    </row>
    <row r="30" spans="1:21" x14ac:dyDescent="0.2">
      <c r="A30">
        <v>113676</v>
      </c>
      <c r="B30">
        <v>67630</v>
      </c>
      <c r="C30" t="s">
        <v>85</v>
      </c>
      <c r="D30" s="64" t="str">
        <f t="shared" si="0"/>
        <v>113676,67630</v>
      </c>
      <c r="F30" t="s">
        <v>166</v>
      </c>
      <c r="G30" s="62">
        <v>113676</v>
      </c>
      <c r="H30">
        <v>111762</v>
      </c>
      <c r="I30">
        <f>SUMIFS(PSB!$Q$4:$Q$101,PSB!$A$4:$A$101,Sheet1!$G30,PSB!$J$4:$J$101,Sheet1!$H30)</f>
        <v>3.1534562211981566E-2</v>
      </c>
      <c r="J30">
        <f>SUMIFS(PSB!$S$4:$S$101,PSB!$A$4:$A$101,Sheet1!$G30,PSB!$J$4:$J$101,Sheet1!$H30)</f>
        <v>0.68430000000000002</v>
      </c>
      <c r="M30">
        <f>G39</f>
        <v>384028</v>
      </c>
      <c r="N30">
        <f t="shared" si="7"/>
        <v>365</v>
      </c>
      <c r="O30">
        <v>1</v>
      </c>
      <c r="P30">
        <f>H39</f>
        <v>540885</v>
      </c>
      <c r="Q30" t="str">
        <f t="shared" si="1"/>
        <v>TERT-BUTYL ACETATE</v>
      </c>
      <c r="R30">
        <v>1</v>
      </c>
      <c r="S30" s="66">
        <f>J39</f>
        <v>19.5762</v>
      </c>
      <c r="T30" s="66">
        <f>I39</f>
        <v>0.26648847926267283</v>
      </c>
      <c r="U30">
        <v>1</v>
      </c>
    </row>
    <row r="31" spans="1:21" x14ac:dyDescent="0.2">
      <c r="A31">
        <v>113676</v>
      </c>
      <c r="B31">
        <v>78933</v>
      </c>
      <c r="C31" t="s">
        <v>80</v>
      </c>
      <c r="D31" s="64" t="str">
        <f t="shared" si="0"/>
        <v>113676,78933</v>
      </c>
      <c r="F31" t="s">
        <v>167</v>
      </c>
      <c r="G31" s="62">
        <v>113676</v>
      </c>
      <c r="H31">
        <v>67630</v>
      </c>
      <c r="I31">
        <f>SUMIFS(PSB!$Q$4:$Q$101,PSB!$A$4:$A$101,Sheet1!$G31,PSB!$J$4:$J$101,Sheet1!$H31)</f>
        <v>1.5767281105990783E-2</v>
      </c>
      <c r="J31">
        <f>SUMIFS(PSB!$S$4:$S$101,PSB!$A$4:$A$101,Sheet1!$G31,PSB!$J$4:$J$101,Sheet1!$H31)</f>
        <v>0.34215000000000001</v>
      </c>
      <c r="M31">
        <f>G41</f>
        <v>384028</v>
      </c>
      <c r="N31">
        <f t="shared" si="7"/>
        <v>365</v>
      </c>
      <c r="O31">
        <v>1</v>
      </c>
      <c r="P31">
        <f>H41</f>
        <v>7664417</v>
      </c>
      <c r="Q31" t="str">
        <f t="shared" si="1"/>
        <v>AMMONIA</v>
      </c>
      <c r="R31">
        <v>1</v>
      </c>
      <c r="S31" s="66">
        <f>J41</f>
        <v>2.6498220000000003E-2</v>
      </c>
      <c r="T31" s="66">
        <f>I41</f>
        <v>1.2211161290322581E-3</v>
      </c>
      <c r="U31">
        <v>1</v>
      </c>
    </row>
    <row r="32" spans="1:21" x14ac:dyDescent="0.2">
      <c r="A32">
        <v>113676</v>
      </c>
      <c r="B32">
        <v>107982</v>
      </c>
      <c r="C32" t="s">
        <v>43</v>
      </c>
      <c r="D32" s="64" t="str">
        <f t="shared" si="0"/>
        <v>113676,107982</v>
      </c>
      <c r="M32">
        <f>G43</f>
        <v>384028</v>
      </c>
      <c r="N32">
        <f t="shared" si="7"/>
        <v>365</v>
      </c>
      <c r="O32">
        <v>1</v>
      </c>
      <c r="P32">
        <f>H43</f>
        <v>95636</v>
      </c>
      <c r="Q32" t="str">
        <f t="shared" si="1"/>
        <v>1,2,4-TRIMETHYLBENZENE</v>
      </c>
      <c r="R32">
        <v>1</v>
      </c>
      <c r="S32" s="66">
        <f>J43</f>
        <v>3.0033560000000001</v>
      </c>
      <c r="T32" s="66">
        <f>I43</f>
        <v>3.5092165898617515E-2</v>
      </c>
      <c r="U32">
        <v>1</v>
      </c>
    </row>
    <row r="33" spans="1:21" x14ac:dyDescent="0.2">
      <c r="A33">
        <v>113676</v>
      </c>
      <c r="B33">
        <v>111762</v>
      </c>
      <c r="C33" t="s">
        <v>32</v>
      </c>
      <c r="D33" s="64" t="str">
        <f t="shared" si="0"/>
        <v>113676,111762</v>
      </c>
      <c r="M33">
        <f>G44</f>
        <v>384029</v>
      </c>
      <c r="N33">
        <f t="shared" si="7"/>
        <v>366</v>
      </c>
      <c r="O33">
        <v>1</v>
      </c>
      <c r="P33">
        <f>H44</f>
        <v>101688</v>
      </c>
      <c r="Q33" t="str">
        <f t="shared" si="1"/>
        <v>4,4'-METHYLENEDI(PHENYL ISOCYANATE)</v>
      </c>
      <c r="R33">
        <v>1</v>
      </c>
      <c r="S33" s="66">
        <f>J44</f>
        <v>6.1404645000000001E-2</v>
      </c>
      <c r="T33" s="66">
        <f>I44</f>
        <v>1.1410109447004611E-3</v>
      </c>
      <c r="U33">
        <v>1</v>
      </c>
    </row>
    <row r="34" spans="1:21" x14ac:dyDescent="0.2">
      <c r="A34">
        <v>384028</v>
      </c>
      <c r="B34">
        <v>95636</v>
      </c>
      <c r="C34" t="s">
        <v>19</v>
      </c>
      <c r="D34" s="64" t="str">
        <f t="shared" ref="D34:D65" si="16">A34&amp;","&amp;B34</f>
        <v>384028,95636</v>
      </c>
      <c r="F34" t="s">
        <v>168</v>
      </c>
      <c r="G34" s="62">
        <v>113676</v>
      </c>
      <c r="H34">
        <v>78933</v>
      </c>
      <c r="I34">
        <f>SUMIFS(PSB!$Q$4:$Q$101,PSB!$A$4:$A$101,Sheet1!$G34,PSB!$J$4:$J$101,Sheet1!$H34)</f>
        <v>3.1534562211981566E-2</v>
      </c>
      <c r="J34">
        <f>SUMIFS(PSB!$S$4:$S$101,PSB!$A$4:$A$101,Sheet1!$G34,PSB!$J$4:$J$101,Sheet1!$H34)</f>
        <v>0.68430000000000002</v>
      </c>
      <c r="M34">
        <f>G45</f>
        <v>384029</v>
      </c>
      <c r="N34">
        <f t="shared" si="7"/>
        <v>366</v>
      </c>
      <c r="O34">
        <v>1</v>
      </c>
      <c r="P34">
        <f>H45</f>
        <v>111762</v>
      </c>
      <c r="Q34" t="str">
        <f t="shared" ref="Q34:Q55" si="17">VLOOKUP(P34,B:C,2,FALSE)</f>
        <v>ETHYLENE GLYCOL MONOBUTYL ETHER</v>
      </c>
      <c r="R34">
        <v>1</v>
      </c>
      <c r="S34" s="66">
        <f>J45</f>
        <v>1.3249109999999999</v>
      </c>
      <c r="T34" s="66">
        <f>I45</f>
        <v>6.1055806451612904E-2</v>
      </c>
      <c r="U34">
        <v>1</v>
      </c>
    </row>
    <row r="35" spans="1:21" x14ac:dyDescent="0.2">
      <c r="A35">
        <v>384028</v>
      </c>
      <c r="B35">
        <v>101688</v>
      </c>
      <c r="C35" t="s">
        <v>26</v>
      </c>
      <c r="D35" s="64" t="str">
        <f t="shared" si="16"/>
        <v>384028,101688</v>
      </c>
      <c r="F35" t="s">
        <v>169</v>
      </c>
      <c r="G35" s="62">
        <v>384028</v>
      </c>
      <c r="H35">
        <v>101688</v>
      </c>
      <c r="I35">
        <f>SUMIFS(PSB!$Q$4:$Q$101,PSB!$A$4:$A$101,Sheet1!$G35,PSB!$J$4:$J$101,Sheet1!$H35)</f>
        <v>1.1410109447004611E-3</v>
      </c>
      <c r="J35">
        <f>SUMIFS(PSB!$S$4:$S$101,PSB!$A$4:$A$101,Sheet1!$G35,PSB!$J$4:$J$101,Sheet1!$H35)</f>
        <v>6.1404645000000001E-2</v>
      </c>
      <c r="M35">
        <f>G47</f>
        <v>384029</v>
      </c>
      <c r="N35">
        <f t="shared" si="7"/>
        <v>366</v>
      </c>
      <c r="O35">
        <v>1</v>
      </c>
      <c r="P35">
        <f>H47</f>
        <v>1330207</v>
      </c>
      <c r="Q35" t="str">
        <f t="shared" si="17"/>
        <v>XYLENE</v>
      </c>
      <c r="R35">
        <v>1</v>
      </c>
      <c r="S35" s="66">
        <f>J47</f>
        <v>0.71400750000000002</v>
      </c>
      <c r="T35" s="66">
        <f>I47</f>
        <v>1.3267569124423966E-2</v>
      </c>
      <c r="U35">
        <v>1</v>
      </c>
    </row>
    <row r="36" spans="1:21" x14ac:dyDescent="0.2">
      <c r="A36">
        <v>384028</v>
      </c>
      <c r="B36">
        <v>101688</v>
      </c>
      <c r="C36" t="s">
        <v>137</v>
      </c>
      <c r="D36" s="64" t="str">
        <f t="shared" si="16"/>
        <v>384028,101688</v>
      </c>
      <c r="F36" t="s">
        <v>170</v>
      </c>
      <c r="G36" s="62">
        <v>384028</v>
      </c>
      <c r="H36">
        <v>111762</v>
      </c>
      <c r="I36">
        <f>SUMIFS(PSB!$Q$4:$Q$101,PSB!$A$4:$A$101,Sheet1!$G36,PSB!$J$4:$J$101,Sheet1!$H36)</f>
        <v>6.1055806451612904E-2</v>
      </c>
      <c r="J36">
        <f>SUMIFS(PSB!$S$4:$S$101,PSB!$A$4:$A$101,Sheet1!$G36,PSB!$J$4:$J$101,Sheet1!$H36)</f>
        <v>1.3249109999999999</v>
      </c>
      <c r="M36">
        <f>G48</f>
        <v>384029</v>
      </c>
      <c r="N36">
        <f t="shared" si="7"/>
        <v>366</v>
      </c>
      <c r="O36">
        <v>1</v>
      </c>
      <c r="P36">
        <f>H48</f>
        <v>540885</v>
      </c>
      <c r="Q36" t="str">
        <f t="shared" si="17"/>
        <v>TERT-BUTYL ACETATE</v>
      </c>
      <c r="R36">
        <v>1</v>
      </c>
      <c r="S36" s="66">
        <f>J48</f>
        <v>19.5762</v>
      </c>
      <c r="T36" s="66">
        <f>I48</f>
        <v>0.26648847926267283</v>
      </c>
      <c r="U36">
        <v>1</v>
      </c>
    </row>
    <row r="37" spans="1:21" x14ac:dyDescent="0.2">
      <c r="A37">
        <v>384028</v>
      </c>
      <c r="B37">
        <v>111762</v>
      </c>
      <c r="C37" t="s">
        <v>32</v>
      </c>
      <c r="D37" s="64" t="str">
        <f t="shared" si="16"/>
        <v>384028,111762</v>
      </c>
      <c r="M37">
        <f>G50</f>
        <v>384029</v>
      </c>
      <c r="N37">
        <f t="shared" si="7"/>
        <v>366</v>
      </c>
      <c r="O37">
        <v>1</v>
      </c>
      <c r="P37">
        <f>H50</f>
        <v>7664417</v>
      </c>
      <c r="Q37" t="str">
        <f t="shared" si="17"/>
        <v>AMMONIA</v>
      </c>
      <c r="R37">
        <v>1</v>
      </c>
      <c r="S37" s="66">
        <f>J50</f>
        <v>2.6498220000000003E-2</v>
      </c>
      <c r="T37" s="66">
        <f>I50</f>
        <v>1.2211161290322581E-3</v>
      </c>
      <c r="U37">
        <v>1</v>
      </c>
    </row>
    <row r="38" spans="1:21" x14ac:dyDescent="0.2">
      <c r="A38">
        <v>384028</v>
      </c>
      <c r="B38">
        <v>540885</v>
      </c>
      <c r="C38" t="s">
        <v>23</v>
      </c>
      <c r="D38" s="64" t="str">
        <f t="shared" si="16"/>
        <v>384028,540885</v>
      </c>
      <c r="F38" t="s">
        <v>171</v>
      </c>
      <c r="G38" s="62">
        <v>384028</v>
      </c>
      <c r="H38">
        <v>1330207</v>
      </c>
      <c r="I38">
        <f>SUMIFS(PSB!$Q$4:$Q$101,PSB!$A$4:$A$101,Sheet1!$G38,PSB!$J$4:$J$101,Sheet1!$H38)</f>
        <v>1.3267569124423966E-2</v>
      </c>
      <c r="J38">
        <f>SUMIFS(PSB!$S$4:$S$101,PSB!$A$4:$A$101,Sheet1!$G38,PSB!$J$4:$J$101,Sheet1!$H38)</f>
        <v>0.71400750000000002</v>
      </c>
      <c r="M38">
        <f t="shared" ref="M38:M44" si="18">G52</f>
        <v>384029</v>
      </c>
      <c r="N38">
        <f t="shared" si="7"/>
        <v>366</v>
      </c>
      <c r="O38">
        <v>1</v>
      </c>
      <c r="P38">
        <f t="shared" ref="P38:P44" si="19">H52</f>
        <v>95636</v>
      </c>
      <c r="Q38" t="str">
        <f t="shared" si="17"/>
        <v>1,2,4-TRIMETHYLBENZENE</v>
      </c>
      <c r="R38">
        <v>1</v>
      </c>
      <c r="S38" s="66">
        <f t="shared" ref="S38:S44" si="20">J52</f>
        <v>3.0033560000000001</v>
      </c>
      <c r="T38" s="66">
        <f t="shared" ref="T38:T44" si="21">I52</f>
        <v>3.5092165898617515E-2</v>
      </c>
      <c r="U38">
        <v>1</v>
      </c>
    </row>
    <row r="39" spans="1:21" x14ac:dyDescent="0.2">
      <c r="A39">
        <v>384028</v>
      </c>
      <c r="B39">
        <v>1330207</v>
      </c>
      <c r="C39" t="s">
        <v>27</v>
      </c>
      <c r="D39" s="64" t="str">
        <f t="shared" si="16"/>
        <v>384028,1330207</v>
      </c>
      <c r="F39" t="s">
        <v>172</v>
      </c>
      <c r="G39" s="62">
        <v>384028</v>
      </c>
      <c r="H39">
        <v>540885</v>
      </c>
      <c r="I39">
        <f>SUMIFS(PSB!$Q$4:$Q$101,PSB!$A$4:$A$101,Sheet1!$G39,PSB!$J$4:$J$101,Sheet1!$H39)</f>
        <v>0.26648847926267283</v>
      </c>
      <c r="J39">
        <f>SUMIFS(PSB!$S$4:$S$101,PSB!$A$4:$A$101,Sheet1!$G39,PSB!$J$4:$J$101,Sheet1!$H39)</f>
        <v>19.5762</v>
      </c>
      <c r="M39">
        <f t="shared" si="18"/>
        <v>384072</v>
      </c>
      <c r="N39">
        <f t="shared" si="7"/>
        <v>367</v>
      </c>
      <c r="O39">
        <v>1</v>
      </c>
      <c r="P39">
        <f t="shared" si="19"/>
        <v>100414</v>
      </c>
      <c r="Q39" t="str">
        <f t="shared" si="17"/>
        <v>ETHYLBENZENE</v>
      </c>
      <c r="R39">
        <v>1</v>
      </c>
      <c r="S39" s="66">
        <f t="shared" si="20"/>
        <v>2.2886815</v>
      </c>
      <c r="T39" s="66">
        <f t="shared" si="21"/>
        <v>5.9590940817066229E-2</v>
      </c>
      <c r="U39">
        <v>1</v>
      </c>
    </row>
    <row r="40" spans="1:21" x14ac:dyDescent="0.2">
      <c r="A40">
        <v>384028</v>
      </c>
      <c r="B40">
        <v>7664417</v>
      </c>
      <c r="C40" t="s">
        <v>34</v>
      </c>
      <c r="D40" s="64" t="str">
        <f t="shared" si="16"/>
        <v>384028,7664417</v>
      </c>
      <c r="M40">
        <f t="shared" si="18"/>
        <v>384072</v>
      </c>
      <c r="N40">
        <f t="shared" si="7"/>
        <v>367</v>
      </c>
      <c r="O40">
        <v>1</v>
      </c>
      <c r="P40">
        <f t="shared" si="19"/>
        <v>107982</v>
      </c>
      <c r="Q40" t="str">
        <f t="shared" si="17"/>
        <v>PROPYLENE GLYCOL MONOMETHYL ETHER</v>
      </c>
      <c r="R40">
        <v>1</v>
      </c>
      <c r="S40" s="66">
        <f t="shared" si="20"/>
        <v>0.27031439999999995</v>
      </c>
      <c r="T40" s="66">
        <f t="shared" si="21"/>
        <v>1.2456884792626726E-2</v>
      </c>
      <c r="U40">
        <v>1</v>
      </c>
    </row>
    <row r="41" spans="1:21" x14ac:dyDescent="0.2">
      <c r="A41">
        <v>384029</v>
      </c>
      <c r="B41">
        <v>95636</v>
      </c>
      <c r="C41" t="s">
        <v>19</v>
      </c>
      <c r="D41" s="64" t="str">
        <f t="shared" si="16"/>
        <v>384029,95636</v>
      </c>
      <c r="F41" t="s">
        <v>173</v>
      </c>
      <c r="G41" s="62">
        <v>384028</v>
      </c>
      <c r="H41">
        <v>7664417</v>
      </c>
      <c r="I41">
        <f>SUMIFS(PSB!$Q$4:$Q$101,PSB!$A$4:$A$101,Sheet1!$G41,PSB!$J$4:$J$101,Sheet1!$H41)</f>
        <v>1.2211161290322581E-3</v>
      </c>
      <c r="J41">
        <f>SUMIFS(PSB!$S$4:$S$101,PSB!$A$4:$A$101,Sheet1!$G41,PSB!$J$4:$J$101,Sheet1!$H41)</f>
        <v>2.6498220000000003E-2</v>
      </c>
      <c r="M41">
        <f t="shared" si="18"/>
        <v>384072</v>
      </c>
      <c r="N41">
        <f t="shared" si="7"/>
        <v>367</v>
      </c>
      <c r="O41">
        <v>1</v>
      </c>
      <c r="P41">
        <f t="shared" si="19"/>
        <v>108883</v>
      </c>
      <c r="Q41" t="str">
        <f t="shared" si="17"/>
        <v>TOLUENE</v>
      </c>
      <c r="R41">
        <v>1</v>
      </c>
      <c r="S41" s="66">
        <f t="shared" si="20"/>
        <v>8.3124000000000003E-2</v>
      </c>
      <c r="T41" s="66">
        <f t="shared" si="21"/>
        <v>3.8305990783410143E-3</v>
      </c>
      <c r="U41">
        <v>1</v>
      </c>
    </row>
    <row r="42" spans="1:21" x14ac:dyDescent="0.2">
      <c r="A42">
        <v>384029</v>
      </c>
      <c r="B42">
        <v>101688</v>
      </c>
      <c r="C42" t="s">
        <v>26</v>
      </c>
      <c r="D42" s="64" t="str">
        <f t="shared" si="16"/>
        <v>384029,101688</v>
      </c>
      <c r="M42">
        <f t="shared" si="18"/>
        <v>384072</v>
      </c>
      <c r="N42">
        <f t="shared" si="7"/>
        <v>367</v>
      </c>
      <c r="O42">
        <v>1</v>
      </c>
      <c r="P42">
        <f t="shared" si="19"/>
        <v>1175</v>
      </c>
      <c r="Q42" t="str">
        <f t="shared" si="17"/>
        <v xml:space="preserve"> Silica, crystalline (respirable), in the form of quartz</v>
      </c>
      <c r="R42">
        <v>1</v>
      </c>
      <c r="S42" s="66">
        <f t="shared" si="20"/>
        <v>2.703144</v>
      </c>
      <c r="T42" s="66">
        <f t="shared" si="21"/>
        <v>4.3599096774193546E-2</v>
      </c>
      <c r="U42">
        <v>1</v>
      </c>
    </row>
    <row r="43" spans="1:21" x14ac:dyDescent="0.2">
      <c r="A43">
        <v>384029</v>
      </c>
      <c r="B43">
        <v>101688</v>
      </c>
      <c r="C43" t="s">
        <v>137</v>
      </c>
      <c r="D43" s="64" t="str">
        <f t="shared" si="16"/>
        <v>384029,101688</v>
      </c>
      <c r="F43" t="s">
        <v>174</v>
      </c>
      <c r="G43" s="62">
        <v>384028</v>
      </c>
      <c r="H43">
        <v>95636</v>
      </c>
      <c r="I43">
        <f>SUMIFS(PSB!$Q$4:$Q$101,PSB!$A$4:$A$101,Sheet1!$G43,PSB!$J$4:$J$101,Sheet1!$H43)</f>
        <v>3.5092165898617515E-2</v>
      </c>
      <c r="J43">
        <f>SUMIFS(PSB!$S$4:$S$101,PSB!$A$4:$A$101,Sheet1!$G43,PSB!$J$4:$J$101,Sheet1!$H43)</f>
        <v>3.0033560000000001</v>
      </c>
      <c r="M43">
        <f t="shared" si="18"/>
        <v>384072</v>
      </c>
      <c r="N43">
        <f t="shared" si="7"/>
        <v>367</v>
      </c>
      <c r="O43">
        <v>1</v>
      </c>
      <c r="P43">
        <f t="shared" si="19"/>
        <v>1221</v>
      </c>
      <c r="Q43" t="str">
        <f t="shared" si="17"/>
        <v>HOMOPOLYMER OF HEXAMETHYLENE DIISOCYANATE</v>
      </c>
      <c r="R43">
        <v>1</v>
      </c>
      <c r="S43" s="66">
        <f t="shared" si="20"/>
        <v>0.97219817999999991</v>
      </c>
      <c r="T43" s="66">
        <f t="shared" si="21"/>
        <v>3.8835820761581374E-2</v>
      </c>
      <c r="U43">
        <v>1</v>
      </c>
    </row>
    <row r="44" spans="1:21" x14ac:dyDescent="0.2">
      <c r="A44">
        <v>384029</v>
      </c>
      <c r="B44">
        <v>111762</v>
      </c>
      <c r="C44" t="s">
        <v>32</v>
      </c>
      <c r="D44" s="64" t="str">
        <f t="shared" si="16"/>
        <v>384029,111762</v>
      </c>
      <c r="F44" t="s">
        <v>175</v>
      </c>
      <c r="G44" s="62">
        <v>384029</v>
      </c>
      <c r="H44">
        <v>101688</v>
      </c>
      <c r="I44">
        <f>SUMIFS(PSB!$Q$4:$Q$101,PSB!$A$4:$A$101,Sheet1!$G44,PSB!$J$4:$J$101,Sheet1!$H44)</f>
        <v>1.1410109447004611E-3</v>
      </c>
      <c r="J44">
        <f>SUMIFS(PSB!$S$4:$S$101,PSB!$A$4:$A$101,Sheet1!$G44,PSB!$J$4:$J$101,Sheet1!$H44)</f>
        <v>6.1404645000000001E-2</v>
      </c>
      <c r="M44">
        <f t="shared" si="18"/>
        <v>384072</v>
      </c>
      <c r="N44">
        <f t="shared" si="7"/>
        <v>367</v>
      </c>
      <c r="O44">
        <v>1</v>
      </c>
      <c r="P44">
        <f t="shared" si="19"/>
        <v>1330207</v>
      </c>
      <c r="Q44" t="str">
        <f t="shared" si="17"/>
        <v>XYLENE</v>
      </c>
      <c r="R44">
        <v>1</v>
      </c>
      <c r="S44" s="66">
        <f t="shared" si="20"/>
        <v>14.029560699999998</v>
      </c>
      <c r="T44" s="66">
        <f t="shared" si="21"/>
        <v>0.36535652639702604</v>
      </c>
      <c r="U44">
        <v>1</v>
      </c>
    </row>
    <row r="45" spans="1:21" x14ac:dyDescent="0.2">
      <c r="A45">
        <v>384029</v>
      </c>
      <c r="B45">
        <v>540885</v>
      </c>
      <c r="C45" t="s">
        <v>23</v>
      </c>
      <c r="D45" s="64" t="str">
        <f t="shared" si="16"/>
        <v>384029,540885</v>
      </c>
      <c r="F45" t="s">
        <v>176</v>
      </c>
      <c r="G45" s="62">
        <v>384029</v>
      </c>
      <c r="H45">
        <v>111762</v>
      </c>
      <c r="I45">
        <f>SUMIFS(PSB!$Q$4:$Q$101,PSB!$A$4:$A$101,Sheet1!$G45,PSB!$J$4:$J$101,Sheet1!$H45)</f>
        <v>6.1055806451612904E-2</v>
      </c>
      <c r="J45">
        <f>SUMIFS(PSB!$S$4:$S$101,PSB!$A$4:$A$101,Sheet1!$G45,PSB!$J$4:$J$101,Sheet1!$H45)</f>
        <v>1.3249109999999999</v>
      </c>
      <c r="M45">
        <f>G60</f>
        <v>384072</v>
      </c>
      <c r="N45">
        <f t="shared" si="7"/>
        <v>367</v>
      </c>
      <c r="O45">
        <v>1</v>
      </c>
      <c r="P45">
        <f>H60</f>
        <v>540885</v>
      </c>
      <c r="Q45" t="str">
        <f t="shared" si="17"/>
        <v>TERT-BUTYL ACETATE</v>
      </c>
      <c r="R45">
        <v>1</v>
      </c>
      <c r="S45" s="66">
        <f>J60</f>
        <v>4.8469319999999998</v>
      </c>
      <c r="T45" s="66">
        <f>I60</f>
        <v>0.22336092165898616</v>
      </c>
      <c r="U45">
        <v>1</v>
      </c>
    </row>
    <row r="46" spans="1:21" x14ac:dyDescent="0.2">
      <c r="A46">
        <v>384029</v>
      </c>
      <c r="B46">
        <v>1330207</v>
      </c>
      <c r="C46" t="s">
        <v>27</v>
      </c>
      <c r="D46" s="64" t="str">
        <f t="shared" si="16"/>
        <v>384029,1330207</v>
      </c>
      <c r="M46">
        <f t="shared" ref="M46:M52" si="22">G62</f>
        <v>384072</v>
      </c>
      <c r="N46">
        <f t="shared" si="7"/>
        <v>367</v>
      </c>
      <c r="O46">
        <v>1</v>
      </c>
      <c r="P46">
        <f t="shared" ref="P46:P52" si="23">H62</f>
        <v>78933</v>
      </c>
      <c r="Q46" t="str">
        <f t="shared" si="17"/>
        <v>METHYL ETHYL KETONE</v>
      </c>
      <c r="R46">
        <v>1</v>
      </c>
      <c r="S46" s="66">
        <f t="shared" ref="S46:S52" si="24">J62</f>
        <v>0.16624800000000001</v>
      </c>
      <c r="T46" s="66">
        <f t="shared" ref="T46:T52" si="25">I62</f>
        <v>7.6611981566820286E-3</v>
      </c>
      <c r="U46">
        <v>1</v>
      </c>
    </row>
    <row r="47" spans="1:21" x14ac:dyDescent="0.2">
      <c r="A47">
        <v>384029</v>
      </c>
      <c r="B47">
        <v>7664417</v>
      </c>
      <c r="C47" t="s">
        <v>34</v>
      </c>
      <c r="D47" s="64" t="str">
        <f t="shared" si="16"/>
        <v>384029,7664417</v>
      </c>
      <c r="F47" t="s">
        <v>177</v>
      </c>
      <c r="G47" s="62">
        <v>384029</v>
      </c>
      <c r="H47">
        <v>1330207</v>
      </c>
      <c r="I47">
        <f>SUMIFS(PSB!$Q$4:$Q$101,PSB!$A$4:$A$101,Sheet1!$G47,PSB!$J$4:$J$101,Sheet1!$H47)</f>
        <v>1.3267569124423966E-2</v>
      </c>
      <c r="J47">
        <f>SUMIFS(PSB!$S$4:$S$101,PSB!$A$4:$A$101,Sheet1!$G47,PSB!$J$4:$J$101,Sheet1!$H47)</f>
        <v>0.71400750000000002</v>
      </c>
      <c r="M47">
        <f t="shared" si="22"/>
        <v>384072</v>
      </c>
      <c r="N47">
        <f t="shared" si="7"/>
        <v>367</v>
      </c>
      <c r="O47">
        <v>1</v>
      </c>
      <c r="P47">
        <f t="shared" si="23"/>
        <v>822060</v>
      </c>
      <c r="Q47" t="str">
        <f t="shared" si="17"/>
        <v>HEXAMETHYLENE-1,6-DIISOCYANATE</v>
      </c>
      <c r="R47">
        <v>1</v>
      </c>
      <c r="S47" s="66">
        <f t="shared" si="24"/>
        <v>5.9411057499999999E-3</v>
      </c>
      <c r="T47" s="66">
        <f t="shared" si="25"/>
        <v>1.9212889481768944E-4</v>
      </c>
      <c r="U47">
        <v>1</v>
      </c>
    </row>
    <row r="48" spans="1:21" x14ac:dyDescent="0.2">
      <c r="A48">
        <v>384072</v>
      </c>
      <c r="B48">
        <v>1175</v>
      </c>
      <c r="C48" t="s">
        <v>135</v>
      </c>
      <c r="D48" s="64" t="str">
        <f t="shared" si="16"/>
        <v>384072,1175</v>
      </c>
      <c r="F48" t="s">
        <v>178</v>
      </c>
      <c r="G48" s="62">
        <v>384029</v>
      </c>
      <c r="H48">
        <v>540885</v>
      </c>
      <c r="I48">
        <f>SUMIFS(PSB!$Q$4:$Q$101,PSB!$A$4:$A$101,Sheet1!$G48,PSB!$J$4:$J$101,Sheet1!$H48)</f>
        <v>0.26648847926267283</v>
      </c>
      <c r="J48">
        <f>SUMIFS(PSB!$S$4:$S$101,PSB!$A$4:$A$101,Sheet1!$G48,PSB!$J$4:$J$101,Sheet1!$H48)</f>
        <v>19.5762</v>
      </c>
      <c r="M48">
        <f t="shared" si="22"/>
        <v>384072</v>
      </c>
      <c r="N48">
        <f t="shared" si="7"/>
        <v>367</v>
      </c>
      <c r="O48">
        <v>1</v>
      </c>
      <c r="P48">
        <f t="shared" si="23"/>
        <v>95636</v>
      </c>
      <c r="Q48" t="str">
        <f t="shared" si="17"/>
        <v>1,2,4-TRIMETHYLBENZENE</v>
      </c>
      <c r="R48">
        <v>1</v>
      </c>
      <c r="S48" s="66">
        <f t="shared" si="24"/>
        <v>0.83816833999999996</v>
      </c>
      <c r="T48" s="66">
        <f t="shared" si="25"/>
        <v>2.8107118911035157E-2</v>
      </c>
      <c r="U48">
        <v>1</v>
      </c>
    </row>
    <row r="49" spans="1:21" x14ac:dyDescent="0.2">
      <c r="A49">
        <v>384072</v>
      </c>
      <c r="B49">
        <v>1221</v>
      </c>
      <c r="C49" t="s">
        <v>136</v>
      </c>
      <c r="D49" s="64" t="str">
        <f t="shared" si="16"/>
        <v>384072,1221</v>
      </c>
      <c r="M49">
        <f t="shared" si="22"/>
        <v>388390</v>
      </c>
      <c r="N49">
        <f t="shared" si="7"/>
        <v>368</v>
      </c>
      <c r="O49">
        <v>1</v>
      </c>
      <c r="P49">
        <f t="shared" si="23"/>
        <v>107982</v>
      </c>
      <c r="Q49" t="str">
        <f t="shared" si="17"/>
        <v>PROPYLENE GLYCOL MONOMETHYL ETHER</v>
      </c>
      <c r="R49">
        <v>1</v>
      </c>
      <c r="S49" s="66">
        <f t="shared" si="24"/>
        <v>6.0628980000000006</v>
      </c>
      <c r="T49" s="66">
        <f t="shared" si="25"/>
        <v>7.7204786971640349E-2</v>
      </c>
      <c r="U49">
        <v>1</v>
      </c>
    </row>
    <row r="50" spans="1:21" x14ac:dyDescent="0.2">
      <c r="A50">
        <v>384072</v>
      </c>
      <c r="B50">
        <v>1221</v>
      </c>
      <c r="C50" t="s">
        <v>136</v>
      </c>
      <c r="D50" s="64" t="str">
        <f t="shared" si="16"/>
        <v>384072,1221</v>
      </c>
      <c r="F50" t="s">
        <v>179</v>
      </c>
      <c r="G50" s="62">
        <v>384029</v>
      </c>
      <c r="H50">
        <v>7664417</v>
      </c>
      <c r="I50">
        <f>SUMIFS(PSB!$Q$4:$Q$101,PSB!$A$4:$A$101,Sheet1!$G50,PSB!$J$4:$J$101,Sheet1!$H50)</f>
        <v>1.2211161290322581E-3</v>
      </c>
      <c r="J50">
        <f>SUMIFS(PSB!$S$4:$S$101,PSB!$A$4:$A$101,Sheet1!$G50,PSB!$J$4:$J$101,Sheet1!$H50)</f>
        <v>2.6498220000000003E-2</v>
      </c>
      <c r="M50">
        <f t="shared" si="22"/>
        <v>388390</v>
      </c>
      <c r="N50">
        <f t="shared" si="7"/>
        <v>368</v>
      </c>
      <c r="O50">
        <v>1</v>
      </c>
      <c r="P50">
        <f t="shared" si="23"/>
        <v>111762</v>
      </c>
      <c r="Q50" t="str">
        <f t="shared" si="17"/>
        <v>ETHYLENE GLYCOL MONOBUTYL ETHER</v>
      </c>
      <c r="R50">
        <v>1</v>
      </c>
      <c r="S50" s="66">
        <f t="shared" si="24"/>
        <v>12.125796000000001</v>
      </c>
      <c r="T50" s="66">
        <f t="shared" si="25"/>
        <v>0.1544095739432807</v>
      </c>
      <c r="U50">
        <v>1</v>
      </c>
    </row>
    <row r="51" spans="1:21" x14ac:dyDescent="0.2">
      <c r="A51">
        <v>384072</v>
      </c>
      <c r="B51">
        <v>78933</v>
      </c>
      <c r="C51" t="s">
        <v>80</v>
      </c>
      <c r="D51" s="64" t="str">
        <f t="shared" si="16"/>
        <v>384072,78933</v>
      </c>
      <c r="M51">
        <f t="shared" si="22"/>
        <v>388390</v>
      </c>
      <c r="N51">
        <f t="shared" si="7"/>
        <v>368</v>
      </c>
      <c r="O51">
        <v>1</v>
      </c>
      <c r="P51">
        <f t="shared" si="23"/>
        <v>1221</v>
      </c>
      <c r="Q51" t="str">
        <f t="shared" si="17"/>
        <v>HOMOPOLYMER OF HEXAMETHYLENE DIISOCYANATE</v>
      </c>
      <c r="R51">
        <v>1</v>
      </c>
      <c r="S51" s="66">
        <f t="shared" si="24"/>
        <v>8.0846409150000014</v>
      </c>
      <c r="T51" s="66">
        <f t="shared" si="25"/>
        <v>9.9734190661786251E-2</v>
      </c>
      <c r="U51">
        <v>1</v>
      </c>
    </row>
    <row r="52" spans="1:21" x14ac:dyDescent="0.2">
      <c r="A52">
        <v>384072</v>
      </c>
      <c r="B52">
        <v>95636</v>
      </c>
      <c r="C52" t="s">
        <v>19</v>
      </c>
      <c r="D52" s="64" t="str">
        <f t="shared" si="16"/>
        <v>384072,95636</v>
      </c>
      <c r="F52" t="s">
        <v>180</v>
      </c>
      <c r="G52" s="62">
        <v>384029</v>
      </c>
      <c r="H52">
        <v>95636</v>
      </c>
      <c r="I52">
        <f>SUMIFS(PSB!$Q$4:$Q$101,PSB!$A$4:$A$101,Sheet1!$G52,PSB!$J$4:$J$101,Sheet1!$H52)</f>
        <v>3.5092165898617515E-2</v>
      </c>
      <c r="J52">
        <f>SUMIFS(PSB!$S$4:$S$101,PSB!$A$4:$A$101,Sheet1!$G52,PSB!$J$4:$J$101,Sheet1!$H52)</f>
        <v>3.0033560000000001</v>
      </c>
      <c r="M52">
        <f t="shared" si="22"/>
        <v>388390</v>
      </c>
      <c r="N52">
        <f t="shared" si="7"/>
        <v>368</v>
      </c>
      <c r="O52">
        <v>1</v>
      </c>
      <c r="P52">
        <f t="shared" si="23"/>
        <v>1330207</v>
      </c>
      <c r="Q52" t="str">
        <f t="shared" si="17"/>
        <v>XYLENE</v>
      </c>
      <c r="R52">
        <v>1</v>
      </c>
      <c r="S52" s="66">
        <f t="shared" si="24"/>
        <v>8.3980810000000012</v>
      </c>
      <c r="T52" s="66">
        <f t="shared" si="25"/>
        <v>0.10360086742914104</v>
      </c>
      <c r="U52">
        <v>1</v>
      </c>
    </row>
    <row r="53" spans="1:21" x14ac:dyDescent="0.2">
      <c r="A53">
        <v>384072</v>
      </c>
      <c r="B53">
        <v>95636</v>
      </c>
      <c r="C53" t="s">
        <v>19</v>
      </c>
      <c r="D53" s="64" t="str">
        <f t="shared" si="16"/>
        <v>384072,95636</v>
      </c>
      <c r="F53" t="s">
        <v>181</v>
      </c>
      <c r="G53" s="62">
        <v>384072</v>
      </c>
      <c r="H53">
        <v>100414</v>
      </c>
      <c r="I53">
        <f>SUMIFS(PSB!$Q$4:$Q$101,PSB!$A$4:$A$101,Sheet1!$G53,PSB!$J$4:$J$101,Sheet1!$H53)</f>
        <v>5.9590940817066229E-2</v>
      </c>
      <c r="J53">
        <f>SUMIFS(PSB!$S$4:$S$101,PSB!$A$4:$A$101,Sheet1!$G53,PSB!$J$4:$J$101,Sheet1!$H53)</f>
        <v>2.2886815</v>
      </c>
      <c r="M53">
        <f>G70</f>
        <v>388390</v>
      </c>
      <c r="N53">
        <f t="shared" si="7"/>
        <v>368</v>
      </c>
      <c r="O53">
        <v>1</v>
      </c>
      <c r="P53">
        <f>H70</f>
        <v>67630</v>
      </c>
      <c r="Q53" t="str">
        <f t="shared" si="17"/>
        <v>2-HYDROXYPROPANE</v>
      </c>
      <c r="R53">
        <v>1</v>
      </c>
      <c r="S53" s="66">
        <f>J70</f>
        <v>6.0628980000000006</v>
      </c>
      <c r="T53" s="66">
        <f>I70</f>
        <v>7.7204786971640349E-2</v>
      </c>
      <c r="U53">
        <v>1</v>
      </c>
    </row>
    <row r="54" spans="1:21" x14ac:dyDescent="0.2">
      <c r="A54">
        <v>384072</v>
      </c>
      <c r="B54">
        <v>95636</v>
      </c>
      <c r="C54" t="s">
        <v>19</v>
      </c>
      <c r="D54" s="64" t="str">
        <f t="shared" si="16"/>
        <v>384072,95636</v>
      </c>
      <c r="F54" t="s">
        <v>182</v>
      </c>
      <c r="G54" s="62">
        <v>384072</v>
      </c>
      <c r="H54">
        <v>107982</v>
      </c>
      <c r="I54">
        <f>SUMIFS(PSB!$Q$4:$Q$101,PSB!$A$4:$A$101,Sheet1!$G54,PSB!$J$4:$J$101,Sheet1!$H54)</f>
        <v>1.2456884792626726E-2</v>
      </c>
      <c r="J54">
        <f>SUMIFS(PSB!$S$4:$S$101,PSB!$A$4:$A$101,Sheet1!$G54,PSB!$J$4:$J$101,Sheet1!$H54)</f>
        <v>0.27031439999999995</v>
      </c>
      <c r="M54">
        <f>G74</f>
        <v>388390</v>
      </c>
      <c r="N54">
        <f t="shared" si="7"/>
        <v>368</v>
      </c>
      <c r="O54">
        <v>1</v>
      </c>
      <c r="P54">
        <f>H74</f>
        <v>78933</v>
      </c>
      <c r="Q54" t="str">
        <f t="shared" si="17"/>
        <v>METHYL ETHYL KETONE</v>
      </c>
      <c r="R54">
        <v>1</v>
      </c>
      <c r="S54" s="66">
        <f>J74</f>
        <v>12.125796000000001</v>
      </c>
      <c r="T54" s="66">
        <f>I74</f>
        <v>0.1544095739432807</v>
      </c>
      <c r="U54">
        <v>1</v>
      </c>
    </row>
    <row r="55" spans="1:21" x14ac:dyDescent="0.2">
      <c r="A55">
        <v>384072</v>
      </c>
      <c r="B55">
        <v>95636</v>
      </c>
      <c r="C55" t="s">
        <v>19</v>
      </c>
      <c r="D55" s="64" t="str">
        <f t="shared" si="16"/>
        <v>384072,95636</v>
      </c>
      <c r="F55" t="s">
        <v>183</v>
      </c>
      <c r="G55" s="62">
        <v>384072</v>
      </c>
      <c r="H55">
        <v>108883</v>
      </c>
      <c r="I55">
        <f>SUMIFS(PSB!$Q$4:$Q$101,PSB!$A$4:$A$101,Sheet1!$G55,PSB!$J$4:$J$101,Sheet1!$H55)</f>
        <v>3.8305990783410143E-3</v>
      </c>
      <c r="J55">
        <f>SUMIFS(PSB!$S$4:$S$101,PSB!$A$4:$A$101,Sheet1!$G55,PSB!$J$4:$J$101,Sheet1!$H55)</f>
        <v>8.3124000000000003E-2</v>
      </c>
      <c r="M55">
        <f>G75</f>
        <v>388390</v>
      </c>
      <c r="N55">
        <f t="shared" si="7"/>
        <v>368</v>
      </c>
      <c r="O55">
        <v>1</v>
      </c>
      <c r="P55">
        <f>H75</f>
        <v>822060</v>
      </c>
      <c r="Q55" t="str">
        <f t="shared" si="17"/>
        <v>HEXAMETHYLENE-1,6-DIISOCYANATE</v>
      </c>
      <c r="R55">
        <v>1</v>
      </c>
      <c r="S55" s="66">
        <f>J75</f>
        <v>8.9829343499999992E-2</v>
      </c>
      <c r="T55" s="66">
        <f>I75</f>
        <v>1.1081576740198473E-3</v>
      </c>
      <c r="U55">
        <v>1</v>
      </c>
    </row>
    <row r="56" spans="1:21" x14ac:dyDescent="0.2">
      <c r="A56">
        <v>384072</v>
      </c>
      <c r="B56">
        <v>100414</v>
      </c>
      <c r="C56" t="s">
        <v>47</v>
      </c>
      <c r="D56" s="64" t="str">
        <f t="shared" si="16"/>
        <v>384072,100414</v>
      </c>
      <c r="F56" t="s">
        <v>184</v>
      </c>
      <c r="G56" s="62">
        <v>384072</v>
      </c>
      <c r="H56">
        <v>1175</v>
      </c>
      <c r="I56">
        <f>SUMIFS(PSB!$Q$4:$Q$101,PSB!$A$4:$A$101,Sheet1!$G56,PSB!$J$4:$J$101,Sheet1!$H56)</f>
        <v>4.3599096774193546E-2</v>
      </c>
      <c r="J56">
        <f>SUMIFS(PSB!$S$4:$S$101,PSB!$A$4:$A$101,Sheet1!$G56,PSB!$J$4:$J$101,Sheet1!$H56)</f>
        <v>2.703144</v>
      </c>
    </row>
    <row r="57" spans="1:21" x14ac:dyDescent="0.2">
      <c r="A57">
        <v>384072</v>
      </c>
      <c r="B57">
        <v>107982</v>
      </c>
      <c r="C57" t="s">
        <v>43</v>
      </c>
      <c r="D57" s="64" t="str">
        <f t="shared" si="16"/>
        <v>384072,107982</v>
      </c>
      <c r="F57" t="s">
        <v>185</v>
      </c>
      <c r="G57" s="62">
        <v>384072</v>
      </c>
      <c r="H57">
        <v>1221</v>
      </c>
      <c r="I57">
        <f>SUMIFS(PSB!$Q$4:$Q$101,PSB!$A$4:$A$101,Sheet1!$G57,PSB!$J$4:$J$101,Sheet1!$H57)</f>
        <v>3.8835820761581374E-2</v>
      </c>
      <c r="J57">
        <f>SUMIFS(PSB!$S$4:$S$101,PSB!$A$4:$A$101,Sheet1!$G57,PSB!$J$4:$J$101,Sheet1!$H57)</f>
        <v>0.97219817999999991</v>
      </c>
    </row>
    <row r="58" spans="1:21" x14ac:dyDescent="0.2">
      <c r="A58">
        <v>384072</v>
      </c>
      <c r="B58">
        <v>108883</v>
      </c>
      <c r="C58" t="s">
        <v>63</v>
      </c>
      <c r="D58" s="64" t="str">
        <f t="shared" si="16"/>
        <v>384072,108883</v>
      </c>
      <c r="F58" t="s">
        <v>186</v>
      </c>
      <c r="G58" s="62">
        <v>384072</v>
      </c>
      <c r="H58">
        <v>1330207</v>
      </c>
      <c r="I58">
        <f>SUMIFS(PSB!$Q$4:$Q$101,PSB!$A$4:$A$101,Sheet1!$G58,PSB!$J$4:$J$101,Sheet1!$H58)</f>
        <v>0.36535652639702604</v>
      </c>
      <c r="J58">
        <f>SUMIFS(PSB!$S$4:$S$101,PSB!$A$4:$A$101,Sheet1!$G58,PSB!$J$4:$J$101,Sheet1!$H58)</f>
        <v>14.029560699999998</v>
      </c>
    </row>
    <row r="59" spans="1:21" x14ac:dyDescent="0.2">
      <c r="A59">
        <v>384072</v>
      </c>
      <c r="B59">
        <v>540885</v>
      </c>
      <c r="C59" t="s">
        <v>23</v>
      </c>
      <c r="D59" s="64" t="str">
        <f t="shared" si="16"/>
        <v>384072,540885</v>
      </c>
    </row>
    <row r="60" spans="1:21" x14ac:dyDescent="0.2">
      <c r="A60">
        <v>384072</v>
      </c>
      <c r="B60">
        <v>540885</v>
      </c>
      <c r="C60" t="s">
        <v>23</v>
      </c>
      <c r="D60" s="64" t="str">
        <f t="shared" si="16"/>
        <v>384072,540885</v>
      </c>
      <c r="F60" t="s">
        <v>187</v>
      </c>
      <c r="G60" s="62">
        <v>384072</v>
      </c>
      <c r="H60">
        <v>540885</v>
      </c>
      <c r="I60">
        <f>SUMIFS(PSB!$Q$4:$Q$101,PSB!$A$4:$A$101,Sheet1!$G60,PSB!$J$4:$J$101,Sheet1!$H60)</f>
        <v>0.22336092165898616</v>
      </c>
      <c r="J60">
        <f>SUMIFS(PSB!$S$4:$S$101,PSB!$A$4:$A$101,Sheet1!$G60,PSB!$J$4:$J$101,Sheet1!$H60)</f>
        <v>4.8469319999999998</v>
      </c>
    </row>
    <row r="61" spans="1:21" x14ac:dyDescent="0.2">
      <c r="A61">
        <v>384072</v>
      </c>
      <c r="B61">
        <v>822060</v>
      </c>
      <c r="C61" t="s">
        <v>50</v>
      </c>
      <c r="D61" s="64" t="str">
        <f t="shared" si="16"/>
        <v>384072,822060</v>
      </c>
    </row>
    <row r="62" spans="1:21" x14ac:dyDescent="0.2">
      <c r="A62">
        <v>384072</v>
      </c>
      <c r="B62">
        <v>822060</v>
      </c>
      <c r="C62" t="s">
        <v>50</v>
      </c>
      <c r="D62" s="64" t="str">
        <f t="shared" si="16"/>
        <v>384072,822060</v>
      </c>
      <c r="F62" t="s">
        <v>188</v>
      </c>
      <c r="G62" s="62">
        <v>384072</v>
      </c>
      <c r="H62">
        <v>78933</v>
      </c>
      <c r="I62">
        <f>SUMIFS(PSB!$Q$4:$Q$101,PSB!$A$4:$A$101,Sheet1!$G62,PSB!$J$4:$J$101,Sheet1!$H62)</f>
        <v>7.6611981566820286E-3</v>
      </c>
      <c r="J62">
        <f>SUMIFS(PSB!$S$4:$S$101,PSB!$A$4:$A$101,Sheet1!$G62,PSB!$J$4:$J$101,Sheet1!$H62)</f>
        <v>0.16624800000000001</v>
      </c>
    </row>
    <row r="63" spans="1:21" x14ac:dyDescent="0.2">
      <c r="A63">
        <v>384072</v>
      </c>
      <c r="B63">
        <v>1330207</v>
      </c>
      <c r="C63" t="s">
        <v>27</v>
      </c>
      <c r="D63" s="64" t="str">
        <f t="shared" si="16"/>
        <v>384072,1330207</v>
      </c>
      <c r="F63" t="s">
        <v>189</v>
      </c>
      <c r="G63" s="62">
        <v>384072</v>
      </c>
      <c r="H63">
        <v>822060</v>
      </c>
      <c r="I63">
        <f>SUMIFS(PSB!$Q$4:$Q$101,PSB!$A$4:$A$101,Sheet1!$G63,PSB!$J$4:$J$101,Sheet1!$H63)</f>
        <v>1.9212889481768944E-4</v>
      </c>
      <c r="J63">
        <f>SUMIFS(PSB!$S$4:$S$101,PSB!$A$4:$A$101,Sheet1!$G63,PSB!$J$4:$J$101,Sheet1!$H63)</f>
        <v>5.9411057499999999E-3</v>
      </c>
    </row>
    <row r="64" spans="1:21" x14ac:dyDescent="0.2">
      <c r="A64">
        <v>384072</v>
      </c>
      <c r="B64">
        <v>1330207</v>
      </c>
      <c r="C64" t="s">
        <v>27</v>
      </c>
      <c r="D64" s="64" t="str">
        <f t="shared" si="16"/>
        <v>384072,1330207</v>
      </c>
      <c r="F64" t="s">
        <v>190</v>
      </c>
      <c r="G64" s="62">
        <v>384072</v>
      </c>
      <c r="H64">
        <v>95636</v>
      </c>
      <c r="I64">
        <f>SUMIFS(PSB!$Q$4:$Q$101,PSB!$A$4:$A$101,Sheet1!$G64,PSB!$J$4:$J$101,Sheet1!$H64)</f>
        <v>2.8107118911035157E-2</v>
      </c>
      <c r="J64">
        <f>SUMIFS(PSB!$S$4:$S$101,PSB!$A$4:$A$101,Sheet1!$G64,PSB!$J$4:$J$101,Sheet1!$H64)</f>
        <v>0.83816833999999996</v>
      </c>
    </row>
    <row r="65" spans="1:10" x14ac:dyDescent="0.2">
      <c r="A65">
        <v>384072</v>
      </c>
      <c r="B65">
        <v>1330207</v>
      </c>
      <c r="C65" t="s">
        <v>27</v>
      </c>
      <c r="D65" s="64" t="str">
        <f t="shared" si="16"/>
        <v>384072,1330207</v>
      </c>
      <c r="F65" t="s">
        <v>191</v>
      </c>
      <c r="G65" s="62">
        <v>388390</v>
      </c>
      <c r="H65">
        <v>107982</v>
      </c>
      <c r="I65">
        <f>SUMIFS(PSB!$Q$4:$Q$101,PSB!$A$4:$A$101,Sheet1!$G65,PSB!$J$4:$J$101,Sheet1!$H65)</f>
        <v>7.7204786971640349E-2</v>
      </c>
      <c r="J65">
        <f>SUMIFS(PSB!$S$4:$S$101,PSB!$A$4:$A$101,Sheet1!$G65,PSB!$J$4:$J$101,Sheet1!$H65)</f>
        <v>6.0628980000000006</v>
      </c>
    </row>
    <row r="66" spans="1:10" x14ac:dyDescent="0.2">
      <c r="A66">
        <v>388390</v>
      </c>
      <c r="B66">
        <v>1221</v>
      </c>
      <c r="C66" t="s">
        <v>136</v>
      </c>
      <c r="D66" s="64" t="str">
        <f t="shared" ref="D66:D78" si="26">A66&amp;","&amp;B66</f>
        <v>388390,1221</v>
      </c>
      <c r="F66" t="s">
        <v>192</v>
      </c>
      <c r="G66" s="62">
        <v>388390</v>
      </c>
      <c r="H66">
        <v>111762</v>
      </c>
      <c r="I66">
        <f>SUMIFS(PSB!$Q$4:$Q$101,PSB!$A$4:$A$101,Sheet1!$G66,PSB!$J$4:$J$101,Sheet1!$H66)</f>
        <v>0.1544095739432807</v>
      </c>
      <c r="J66">
        <f>SUMIFS(PSB!$S$4:$S$101,PSB!$A$4:$A$101,Sheet1!$G66,PSB!$J$4:$J$101,Sheet1!$H66)</f>
        <v>12.125796000000001</v>
      </c>
    </row>
    <row r="67" spans="1:10" x14ac:dyDescent="0.2">
      <c r="A67">
        <v>388390</v>
      </c>
      <c r="B67">
        <v>1221</v>
      </c>
      <c r="C67" t="s">
        <v>136</v>
      </c>
      <c r="D67" s="64" t="str">
        <f t="shared" si="26"/>
        <v>388390,1221</v>
      </c>
      <c r="F67" t="s">
        <v>193</v>
      </c>
      <c r="G67" s="62">
        <v>388390</v>
      </c>
      <c r="H67">
        <v>1221</v>
      </c>
      <c r="I67">
        <f>SUMIFS(PSB!$Q$4:$Q$101,PSB!$A$4:$A$101,Sheet1!$G67,PSB!$J$4:$J$101,Sheet1!$H67)</f>
        <v>9.9734190661786251E-2</v>
      </c>
      <c r="J67">
        <f>SUMIFS(PSB!$S$4:$S$101,PSB!$A$4:$A$101,Sheet1!$G67,PSB!$J$4:$J$101,Sheet1!$H67)</f>
        <v>8.0846409150000014</v>
      </c>
    </row>
    <row r="68" spans="1:10" x14ac:dyDescent="0.2">
      <c r="A68">
        <v>388390</v>
      </c>
      <c r="B68">
        <v>1221</v>
      </c>
      <c r="C68" t="s">
        <v>136</v>
      </c>
      <c r="D68" s="64" t="str">
        <f t="shared" si="26"/>
        <v>388390,1221</v>
      </c>
      <c r="F68" t="s">
        <v>194</v>
      </c>
      <c r="G68" s="62">
        <v>388390</v>
      </c>
      <c r="H68">
        <v>1330207</v>
      </c>
      <c r="I68">
        <f>SUMIFS(PSB!$Q$4:$Q$101,PSB!$A$4:$A$101,Sheet1!$G68,PSB!$J$4:$J$101,Sheet1!$H68)</f>
        <v>0.10360086742914104</v>
      </c>
      <c r="J68">
        <f>SUMIFS(PSB!$S$4:$S$101,PSB!$A$4:$A$101,Sheet1!$G68,PSB!$J$4:$J$101,Sheet1!$H68)</f>
        <v>8.3980810000000012</v>
      </c>
    </row>
    <row r="69" spans="1:10" x14ac:dyDescent="0.2">
      <c r="A69">
        <v>388390</v>
      </c>
      <c r="B69">
        <v>67630</v>
      </c>
      <c r="C69" t="s">
        <v>85</v>
      </c>
      <c r="D69" s="64" t="str">
        <f t="shared" si="26"/>
        <v>388390,67630</v>
      </c>
    </row>
    <row r="70" spans="1:10" x14ac:dyDescent="0.2">
      <c r="A70">
        <v>388390</v>
      </c>
      <c r="B70">
        <v>78933</v>
      </c>
      <c r="C70" t="s">
        <v>80</v>
      </c>
      <c r="D70" s="64" t="str">
        <f t="shared" si="26"/>
        <v>388390,78933</v>
      </c>
      <c r="F70" t="s">
        <v>195</v>
      </c>
      <c r="G70" s="62">
        <v>388390</v>
      </c>
      <c r="H70">
        <v>67630</v>
      </c>
      <c r="I70">
        <f>SUMIFS(PSB!$Q$4:$Q$101,PSB!$A$4:$A$101,Sheet1!$G70,PSB!$J$4:$J$101,Sheet1!$H70)</f>
        <v>7.7204786971640349E-2</v>
      </c>
      <c r="J70">
        <f>SUMIFS(PSB!$S$4:$S$101,PSB!$A$4:$A$101,Sheet1!$G70,PSB!$J$4:$J$101,Sheet1!$H70)</f>
        <v>6.0628980000000006</v>
      </c>
    </row>
    <row r="71" spans="1:10" x14ac:dyDescent="0.2">
      <c r="A71">
        <v>388390</v>
      </c>
      <c r="B71">
        <v>107982</v>
      </c>
      <c r="C71" t="s">
        <v>43</v>
      </c>
      <c r="D71" s="64" t="str">
        <f t="shared" si="26"/>
        <v>388390,107982</v>
      </c>
    </row>
    <row r="72" spans="1:10" x14ac:dyDescent="0.2">
      <c r="A72">
        <v>388390</v>
      </c>
      <c r="B72">
        <v>111762</v>
      </c>
      <c r="C72" t="s">
        <v>32</v>
      </c>
      <c r="D72" s="64" t="str">
        <f t="shared" si="26"/>
        <v>388390,111762</v>
      </c>
    </row>
    <row r="73" spans="1:10" x14ac:dyDescent="0.2">
      <c r="A73">
        <v>388390</v>
      </c>
      <c r="B73">
        <v>822060</v>
      </c>
      <c r="C73" t="s">
        <v>50</v>
      </c>
      <c r="D73" s="64" t="str">
        <f t="shared" si="26"/>
        <v>388390,822060</v>
      </c>
    </row>
    <row r="74" spans="1:10" x14ac:dyDescent="0.2">
      <c r="A74">
        <v>388390</v>
      </c>
      <c r="B74">
        <v>822060</v>
      </c>
      <c r="C74" t="s">
        <v>50</v>
      </c>
      <c r="D74" s="64" t="str">
        <f t="shared" si="26"/>
        <v>388390,822060</v>
      </c>
      <c r="F74" t="s">
        <v>196</v>
      </c>
      <c r="G74" s="62">
        <v>388390</v>
      </c>
      <c r="H74">
        <v>78933</v>
      </c>
      <c r="I74">
        <f>SUMIFS(PSB!$Q$4:$Q$101,PSB!$A$4:$A$101,Sheet1!$G74,PSB!$J$4:$J$101,Sheet1!$H74)</f>
        <v>0.1544095739432807</v>
      </c>
      <c r="J74">
        <f>SUMIFS(PSB!$S$4:$S$101,PSB!$A$4:$A$101,Sheet1!$G74,PSB!$J$4:$J$101,Sheet1!$H74)</f>
        <v>12.125796000000001</v>
      </c>
    </row>
    <row r="75" spans="1:10" x14ac:dyDescent="0.2">
      <c r="A75">
        <v>388390</v>
      </c>
      <c r="B75">
        <v>822060</v>
      </c>
      <c r="C75" t="s">
        <v>50</v>
      </c>
      <c r="D75" s="64" t="str">
        <f t="shared" si="26"/>
        <v>388390,822060</v>
      </c>
      <c r="F75" t="s">
        <v>197</v>
      </c>
      <c r="G75" s="62">
        <v>388390</v>
      </c>
      <c r="H75">
        <v>822060</v>
      </c>
      <c r="I75">
        <f>SUMIFS(PSB!$Q$4:$Q$101,PSB!$A$4:$A$101,Sheet1!$G75,PSB!$J$4:$J$101,Sheet1!$H75)</f>
        <v>1.1081576740198473E-3</v>
      </c>
      <c r="J75">
        <f>SUMIFS(PSB!$S$4:$S$101,PSB!$A$4:$A$101,Sheet1!$G75,PSB!$J$4:$J$101,Sheet1!$H75)</f>
        <v>8.9829343499999992E-2</v>
      </c>
    </row>
    <row r="76" spans="1:10" x14ac:dyDescent="0.2">
      <c r="A76">
        <v>388390</v>
      </c>
      <c r="B76">
        <v>1330207</v>
      </c>
      <c r="C76" t="s">
        <v>27</v>
      </c>
      <c r="D76" s="64" t="str">
        <f t="shared" si="26"/>
        <v>388390,1330207</v>
      </c>
    </row>
    <row r="77" spans="1:10" x14ac:dyDescent="0.2">
      <c r="A77">
        <v>388390</v>
      </c>
      <c r="B77">
        <v>1330207</v>
      </c>
      <c r="C77" t="s">
        <v>27</v>
      </c>
      <c r="D77" s="64" t="str">
        <f t="shared" si="26"/>
        <v>388390,1330207</v>
      </c>
    </row>
    <row r="78" spans="1:10" x14ac:dyDescent="0.2">
      <c r="A78">
        <v>388390</v>
      </c>
      <c r="B78">
        <v>1330207</v>
      </c>
      <c r="C78" t="s">
        <v>27</v>
      </c>
      <c r="D78" s="64" t="str">
        <f t="shared" si="26"/>
        <v>388390,1330207</v>
      </c>
    </row>
    <row r="79" spans="1:10" x14ac:dyDescent="0.2">
      <c r="D79" s="64"/>
    </row>
  </sheetData>
  <sortState xmlns:xlrd2="http://schemas.microsoft.com/office/spreadsheetml/2017/richdata2" ref="A2:D100">
    <sortCondition ref="A2:A100"/>
    <sortCondition ref="B2:B100"/>
  </sortState>
  <pageMargins left="0.7" right="0.7" top="0.75" bottom="0.75" header="0.3" footer="0.3"/>
  <ignoredErrors>
    <ignoredError sqref="F2 F4:F10 F12:F18 F20 F22 F24 F26:F31 F34:F36 F38:F39 F41 F43:F45 F47:F48 F50 F52:F58 F60 F62:F68 F70 F74:F7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f5fa2e-4e58-4301-97f3-6e02fdcd3c2e" xsi:nil="true"/>
    <lcf76f155ced4ddcb4097134ff3c332f xmlns="63591261-97e9-4074-ab3f-a6a63f75c3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6843E2-E9CA-4623-B9F8-615458C51C23}">
  <ds:schemaRefs>
    <ds:schemaRef ds:uri="http://schemas.microsoft.com/office/2006/metadata/properties"/>
    <ds:schemaRef ds:uri="http://schemas.microsoft.com/office/infopath/2007/PartnerControls"/>
    <ds:schemaRef ds:uri="52f5fa2e-4e58-4301-97f3-6e02fdcd3c2e"/>
    <ds:schemaRef ds:uri="63591261-97e9-4074-ab3f-a6a63f75c3a8"/>
  </ds:schemaRefs>
</ds:datastoreItem>
</file>

<file path=customXml/itemProps2.xml><?xml version="1.0" encoding="utf-8"?>
<ds:datastoreItem xmlns:ds="http://schemas.openxmlformats.org/officeDocument/2006/customXml" ds:itemID="{3FBAFD0B-37FD-4CA0-87A4-A625C2BF2F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591261-97e9-4074-ab3f-a6a63f75c3a8"/>
    <ds:schemaRef ds:uri="52f5fa2e-4e58-4301-97f3-6e02fdcd3c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5C3E25-77CF-4628-A96D-A543EC9BBC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PSB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Chaabane, Ramzi</dc:creator>
  <cp:lastModifiedBy>Chaabane, Ramzi</cp:lastModifiedBy>
  <dcterms:created xsi:type="dcterms:W3CDTF">2021-05-14T00:29:59Z</dcterms:created>
  <dcterms:modified xsi:type="dcterms:W3CDTF">2022-12-22T21:03:38Z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0x01010019BEC926CA8234448BBDAA66811C990D</vt:lpwstr>
  </property>
  <property fmtid="{D5CDD505-2E9C-101B-9397-08002B2CF9AE}" pid="3" name="MediaServiceImageTags">
    <vt:lpwstr/>
  </property>
</Properties>
</file>