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sbcapcd.org\shares\Groups\planning\CEQA\Reference\Wineries\Winery Resources Update 2025\"/>
    </mc:Choice>
  </mc:AlternateContent>
  <xr:revisionPtr revIDLastSave="0" documentId="13_ncr:1_{EFC15D4A-2A26-47E7-8C9E-415FB2AED921}" xr6:coauthVersionLast="47" xr6:coauthVersionMax="47" xr10:uidLastSave="{00000000-0000-0000-0000-000000000000}"/>
  <bookViews>
    <workbookView xWindow="-120" yWindow="-120" windowWidth="29040" windowHeight="17520" xr2:uid="{00000000-000D-0000-FFFF-FFFF00000000}"/>
  </bookViews>
  <sheets>
    <sheet name="Calculator" sheetId="12" r:id="rId1"/>
    <sheet name="Wine ROC Emissions" sheetId="4" r:id="rId2"/>
    <sheet name="Fermentation CO2 Emissions " sheetId="5" r:id="rId3"/>
    <sheet name="Conversions and EF" sheetId="11" r:id="rId4"/>
  </sheets>
  <definedNames>
    <definedName name="Boiler">'Conversions and EF'!$I$47:$I$48</definedName>
    <definedName name="No">'Conversions and EF'!$I$47:$I$48</definedName>
    <definedName name="Open">#REF!</definedName>
    <definedName name="propane">'Conversions and EF'!$I$47:$I$48</definedName>
    <definedName name="Yes">#REF!</definedName>
    <definedName name="YesN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2" l="1"/>
  <c r="C12" i="12" l="1"/>
  <c r="C9" i="5" s="1"/>
  <c r="C14" i="12"/>
  <c r="C12" i="5" s="1"/>
  <c r="C21" i="11"/>
  <c r="C20" i="11"/>
  <c r="C17" i="12" l="1"/>
  <c r="C22" i="12"/>
  <c r="C7" i="4" s="1"/>
  <c r="I7" i="4" s="1"/>
  <c r="C26" i="12"/>
  <c r="C8" i="4" s="1"/>
  <c r="C27" i="12"/>
  <c r="D8" i="4" s="1"/>
  <c r="C18" i="12"/>
  <c r="C23" i="12"/>
  <c r="D7" i="4" s="1"/>
  <c r="J7" i="4" s="1"/>
  <c r="H8" i="11" l="1"/>
  <c r="H9" i="11" s="1"/>
  <c r="H10" i="11" s="1"/>
  <c r="C92" i="11" l="1"/>
  <c r="G74" i="11" s="1"/>
  <c r="C58" i="11"/>
  <c r="G85" i="11" l="1"/>
  <c r="G77" i="11"/>
  <c r="G73" i="11"/>
  <c r="G84" i="11"/>
  <c r="G80" i="11"/>
  <c r="G76" i="11"/>
  <c r="G87" i="11"/>
  <c r="G83" i="11"/>
  <c r="G79" i="11"/>
  <c r="G75" i="11"/>
  <c r="G81" i="11"/>
  <c r="G86" i="11"/>
  <c r="G82" i="11"/>
  <c r="G78" i="11"/>
  <c r="C46" i="11" l="1"/>
  <c r="C26" i="11" l="1"/>
  <c r="C30" i="11" s="1"/>
  <c r="C29" i="11" l="1"/>
  <c r="C31" i="11" s="1"/>
  <c r="C17" i="11" s="1"/>
  <c r="C32" i="11"/>
  <c r="D17" i="11" s="1"/>
  <c r="F8" i="4" l="1"/>
  <c r="G8" i="4"/>
  <c r="G7" i="4"/>
  <c r="F7" i="4"/>
  <c r="C5" i="5" l="1"/>
  <c r="C6" i="5" l="1"/>
  <c r="J8" i="4" l="1"/>
  <c r="C13" i="5" l="1"/>
  <c r="C14" i="5" s="1"/>
  <c r="J9" i="4"/>
  <c r="C10" i="5"/>
  <c r="C11" i="5" s="1"/>
  <c r="C15" i="5" l="1"/>
  <c r="H12" i="12" s="1"/>
  <c r="I8" i="4"/>
  <c r="I9" i="4" s="1"/>
  <c r="I11" i="4" l="1"/>
  <c r="H11" i="12" s="1"/>
</calcChain>
</file>

<file path=xl/sharedStrings.xml><?xml version="1.0" encoding="utf-8"?>
<sst xmlns="http://schemas.openxmlformats.org/spreadsheetml/2006/main" count="273" uniqueCount="156">
  <si>
    <t>SF</t>
  </si>
  <si>
    <t>ADT</t>
  </si>
  <si>
    <t>Data</t>
  </si>
  <si>
    <t>Units</t>
  </si>
  <si>
    <t>Red Wine Production</t>
  </si>
  <si>
    <t>gal/yr</t>
  </si>
  <si>
    <t>cases/yr</t>
  </si>
  <si>
    <t>White Wine Production</t>
  </si>
  <si>
    <t>Red Wine Aged in Oak</t>
  </si>
  <si>
    <t>%</t>
  </si>
  <si>
    <t>White Wine Aged in Oak</t>
  </si>
  <si>
    <t>Red Wine Aged in Oak Capacity</t>
  </si>
  <si>
    <t>gallons</t>
  </si>
  <si>
    <t>White Wine Aged in Oak Capacity</t>
  </si>
  <si>
    <t>Maximum Red Wine Fermented</t>
  </si>
  <si>
    <t xml:space="preserve">Maximum White Wine Fermented </t>
  </si>
  <si>
    <t>days</t>
  </si>
  <si>
    <t xml:space="preserve">Max Daily Red Wine Aging in Oak </t>
  </si>
  <si>
    <t xml:space="preserve">Max Daily White Wine Aging in Oak </t>
  </si>
  <si>
    <t>Gal/Case =</t>
  </si>
  <si>
    <t>Red</t>
  </si>
  <si>
    <t>White</t>
  </si>
  <si>
    <t>Reference</t>
  </si>
  <si>
    <t>Fermentation</t>
  </si>
  <si>
    <t>lb/1000 gal</t>
  </si>
  <si>
    <t>ARB, March 2005</t>
  </si>
  <si>
    <t xml:space="preserve">Aging/Storage </t>
  </si>
  <si>
    <t>lb/1000 gal-yr</t>
  </si>
  <si>
    <t>APCD</t>
  </si>
  <si>
    <t>Notes:</t>
  </si>
  <si>
    <t>(a)  Aging emission factor based on % loss wine per year in oak cooperage.  (ETOH = ethanol)</t>
  </si>
  <si>
    <t xml:space="preserve">      -  Aging EF = (gal wine evap/gal wine) * (lb wine evap/gal wine evap) * (lb ETOH/lb wine evap)*(1000/1000)</t>
  </si>
  <si>
    <t>SG ETOH =</t>
  </si>
  <si>
    <t>MSDS</t>
  </si>
  <si>
    <t>Density of Water =</t>
  </si>
  <si>
    <t>lb/gal</t>
  </si>
  <si>
    <t>standard</t>
  </si>
  <si>
    <t>Density ETOH =</t>
  </si>
  <si>
    <t>calculated</t>
  </si>
  <si>
    <t>ETOH Vol % Red =</t>
  </si>
  <si>
    <t>gal/gal wine</t>
  </si>
  <si>
    <t>assumption</t>
  </si>
  <si>
    <t>ETOH Vol % White =</t>
  </si>
  <si>
    <t>ETOH Wt % Red =</t>
  </si>
  <si>
    <t>lb/lb wine</t>
  </si>
  <si>
    <t>ETOH Wt % White =</t>
  </si>
  <si>
    <t>Density (Red Wine) =</t>
  </si>
  <si>
    <t>Density (Wt Wine) =</t>
  </si>
  <si>
    <t>% Wine Loss by Vol =</t>
  </si>
  <si>
    <t>APCD (loss of wine)</t>
  </si>
  <si>
    <t>Process</t>
  </si>
  <si>
    <t>usage</t>
  </si>
  <si>
    <t>units</t>
  </si>
  <si>
    <t>EF</t>
  </si>
  <si>
    <t>lb/day</t>
  </si>
  <si>
    <t>gal/cycle</t>
  </si>
  <si>
    <t>gal/day</t>
  </si>
  <si>
    <t>lb/1000 gal-day</t>
  </si>
  <si>
    <t>Maximum Daily Wine ROC Emissions  (ethanol)</t>
  </si>
  <si>
    <t>EF red wine</t>
  </si>
  <si>
    <t>EF white wine</t>
  </si>
  <si>
    <t>Red Wine Emissions</t>
  </si>
  <si>
    <t>gallons/year</t>
  </si>
  <si>
    <t>lbs CO2/year</t>
  </si>
  <si>
    <t>Annual CO2 Emissions from Fermentation</t>
  </si>
  <si>
    <t>White Wine Emissions</t>
  </si>
  <si>
    <t>Weekdays per year</t>
  </si>
  <si>
    <t>Weekend days per year</t>
  </si>
  <si>
    <t>Average Daily Trips</t>
  </si>
  <si>
    <t>Key</t>
  </si>
  <si>
    <t>Please fill in these boxes with project specific information.</t>
  </si>
  <si>
    <t>1,000 SF</t>
  </si>
  <si>
    <t>Days per year</t>
  </si>
  <si>
    <t>lbs CO2/1000 gal red wine</t>
  </si>
  <si>
    <t>lbs CO2/1000 gal white wine</t>
  </si>
  <si>
    <t>Annual Wine Production</t>
  </si>
  <si>
    <t>Daily Wine Production</t>
  </si>
  <si>
    <t>Winery Production Assumptions</t>
  </si>
  <si>
    <t>*Fermentation Cycle - Red Wine</t>
  </si>
  <si>
    <t>*Fermentation Cycle - White Wine</t>
  </si>
  <si>
    <t>* % Red Fermenting Daily =</t>
  </si>
  <si>
    <t>* % White Fermenting Daily =</t>
  </si>
  <si>
    <t>* % Red Oak Aging Daily =</t>
  </si>
  <si>
    <t>* % White Oak Aging Daily =</t>
  </si>
  <si>
    <t>Emission Factors (EF)</t>
  </si>
  <si>
    <t>Criteria Pollutant Wine Emissions</t>
  </si>
  <si>
    <t>Total ROC (ethanol) Emissions=</t>
  </si>
  <si>
    <t>Rule 342</t>
  </si>
  <si>
    <t>R360-A</t>
  </si>
  <si>
    <t>Rule 360-B</t>
  </si>
  <si>
    <t>Rule 361</t>
  </si>
  <si>
    <t>NOx</t>
  </si>
  <si>
    <t>lb/MMBtu</t>
  </si>
  <si>
    <t>ROC</t>
  </si>
  <si>
    <t>CO</t>
  </si>
  <si>
    <t>SOx</t>
  </si>
  <si>
    <t>PM/PM10</t>
  </si>
  <si>
    <t>lbs/day</t>
  </si>
  <si>
    <t>Sulfur in Fuel</t>
  </si>
  <si>
    <t>wt %</t>
  </si>
  <si>
    <t>g/bhp-hr</t>
  </si>
  <si>
    <t>ATCM</t>
  </si>
  <si>
    <t>Combustion Equipment GHG Emission Factors</t>
  </si>
  <si>
    <t>Natural Gas</t>
  </si>
  <si>
    <t>Propane</t>
  </si>
  <si>
    <t>Diesel</t>
  </si>
  <si>
    <t>Fuel</t>
  </si>
  <si>
    <t>lbs CO2e/MMBtu</t>
  </si>
  <si>
    <t>g/hp-hr</t>
  </si>
  <si>
    <t>MT</t>
  </si>
  <si>
    <t>lbs</t>
  </si>
  <si>
    <t>Conversions</t>
  </si>
  <si>
    <t>year</t>
  </si>
  <si>
    <t>day</t>
  </si>
  <si>
    <t>hours</t>
  </si>
  <si>
    <t>Total GHG Emissions</t>
  </si>
  <si>
    <t>g</t>
  </si>
  <si>
    <t>Date</t>
  </si>
  <si>
    <t>Project Name</t>
  </si>
  <si>
    <t>Total</t>
  </si>
  <si>
    <t>Source</t>
  </si>
  <si>
    <t>MT CO2/year</t>
  </si>
  <si>
    <t>Wine Emission Factors</t>
  </si>
  <si>
    <t>M&amp;T=Maintanence and Testing</t>
  </si>
  <si>
    <t>This data is automatically calculated based on project information and defaults.</t>
  </si>
  <si>
    <t>ton</t>
  </si>
  <si>
    <t>Conversions and Emission Factors</t>
  </si>
  <si>
    <t>Engine Power</t>
  </si>
  <si>
    <t>100-175</t>
  </si>
  <si>
    <t>50-75</t>
  </si>
  <si>
    <t>75-100</t>
  </si>
  <si>
    <t>175-300</t>
  </si>
  <si>
    <t>300-750</t>
  </si>
  <si>
    <t>Diesel Engine Emission Factors</t>
  </si>
  <si>
    <t>Boiler - Propane Emission Factors</t>
  </si>
  <si>
    <t>min</t>
  </si>
  <si>
    <t>max</t>
  </si>
  <si>
    <t>btu/hr</t>
  </si>
  <si>
    <t>*wt%S=EF</t>
  </si>
  <si>
    <t>SOx EF Calc</t>
  </si>
  <si>
    <t>*SOx</t>
  </si>
  <si>
    <t>*SOx Emission Factor</t>
  </si>
  <si>
    <t>btu</t>
  </si>
  <si>
    <t>MMBtu</t>
  </si>
  <si>
    <t>Rule 360-A</t>
  </si>
  <si>
    <t>Trip Rate Assumptions</t>
  </si>
  <si>
    <t>Boiler - Natural Gas Emission Factors</t>
  </si>
  <si>
    <t>Tier</t>
  </si>
  <si>
    <t>This is a final calculation to be used in the project's emissions estimates for CEQA</t>
  </si>
  <si>
    <t>Pollutant</t>
  </si>
  <si>
    <t>MT CO2e/year</t>
  </si>
  <si>
    <t>Greenhouse Gases</t>
  </si>
  <si>
    <t>ROCs</t>
  </si>
  <si>
    <t>Fugitive Emissions Results</t>
  </si>
  <si>
    <t>Winery Fermentation Emission Calculator</t>
  </si>
  <si>
    <t>Updated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</si>
</sst>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
    <numFmt numFmtId="166" formatCode="#,##0.0000"/>
    <numFmt numFmtId="167" formatCode="0.0000"/>
    <numFmt numFmtId="168" formatCode="0.0"/>
  </numFmts>
  <fonts count="21" x14ac:knownFonts="1">
    <font>
      <sz val="11"/>
      <color theme="1"/>
      <name val="Calibri"/>
      <family val="2"/>
      <scheme val="minor"/>
    </font>
    <font>
      <b/>
      <sz val="11"/>
      <color theme="1"/>
      <name val="Calibri"/>
      <family val="2"/>
      <scheme val="minor"/>
    </font>
    <font>
      <sz val="11"/>
      <color theme="1"/>
      <name val="Calibri"/>
      <family val="2"/>
      <scheme val="minor"/>
    </font>
    <font>
      <sz val="8"/>
      <name val="Arial"/>
      <family val="2"/>
    </font>
    <font>
      <u/>
      <sz val="8"/>
      <name val="Arial"/>
      <family val="2"/>
    </font>
    <font>
      <sz val="8"/>
      <color theme="9" tint="-0.499984740745262"/>
      <name val="Arial"/>
      <family val="2"/>
    </font>
    <font>
      <sz val="8"/>
      <color rgb="FF0070C0"/>
      <name val="Arial"/>
      <family val="2"/>
    </font>
    <font>
      <sz val="5"/>
      <name val="Arial"/>
      <family val="2"/>
    </font>
    <font>
      <sz val="8"/>
      <color indexed="12"/>
      <name val="Arial"/>
      <family val="2"/>
    </font>
    <font>
      <sz val="11"/>
      <color theme="9" tint="-0.499984740745262"/>
      <name val="Calibri"/>
      <family val="2"/>
      <scheme val="minor"/>
    </font>
    <font>
      <sz val="11"/>
      <name val="Calibri"/>
      <family val="2"/>
      <scheme val="minor"/>
    </font>
    <font>
      <b/>
      <i/>
      <sz val="11"/>
      <name val="Calibri"/>
      <family val="2"/>
      <scheme val="minor"/>
    </font>
    <font>
      <b/>
      <sz val="11"/>
      <name val="Calibri"/>
      <family val="2"/>
      <scheme val="minor"/>
    </font>
    <font>
      <sz val="10"/>
      <name val="Arial"/>
    </font>
    <font>
      <u/>
      <sz val="10"/>
      <color indexed="12"/>
      <name val="Arial"/>
    </font>
    <font>
      <i/>
      <sz val="11"/>
      <color theme="1"/>
      <name val="Calibri"/>
      <family val="2"/>
      <scheme val="minor"/>
    </font>
    <font>
      <u/>
      <sz val="11"/>
      <name val="Calibri"/>
      <family val="2"/>
      <scheme val="minor"/>
    </font>
    <font>
      <b/>
      <u/>
      <sz val="14"/>
      <color theme="1"/>
      <name val="Calibri"/>
      <family val="2"/>
      <scheme val="minor"/>
    </font>
    <font>
      <i/>
      <sz val="11"/>
      <name val="Calibri"/>
      <family val="2"/>
      <scheme val="minor"/>
    </font>
    <font>
      <b/>
      <i/>
      <sz val="11"/>
      <color theme="1"/>
      <name val="Calibri"/>
      <family val="2"/>
      <scheme val="minor"/>
    </font>
    <font>
      <b/>
      <i/>
      <sz val="24"/>
      <color theme="1"/>
      <name val="Calibri"/>
      <family val="2"/>
      <scheme val="minor"/>
    </font>
  </fonts>
  <fills count="7">
    <fill>
      <patternFill patternType="none"/>
    </fill>
    <fill>
      <patternFill patternType="gray125"/>
    </fill>
    <fill>
      <patternFill patternType="solid">
        <fgColor theme="7" tint="0.59999389629810485"/>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0"/>
        <bgColor indexed="64"/>
      </patternFill>
    </fill>
  </fills>
  <borders count="66">
    <border>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bottom/>
      <diagonal/>
    </border>
    <border>
      <left style="thin">
        <color indexed="64"/>
      </left>
      <right/>
      <top style="thin">
        <color indexed="64"/>
      </top>
      <bottom/>
      <diagonal/>
    </border>
    <border>
      <left/>
      <right style="thin">
        <color indexed="64"/>
      </right>
      <top/>
      <bottom style="medium">
        <color indexed="64"/>
      </bottom>
      <diagonal/>
    </border>
  </borders>
  <cellStyleXfs count="5">
    <xf numFmtId="0" fontId="0" fillId="0" borderId="0"/>
    <xf numFmtId="9" fontId="2" fillId="0" borderId="0" applyFont="0" applyFill="0" applyBorder="0" applyAlignment="0" applyProtection="0"/>
    <xf numFmtId="0" fontId="13" fillId="0" borderId="0"/>
    <xf numFmtId="0" fontId="14" fillId="0" borderId="0" applyNumberFormat="0" applyFill="0" applyBorder="0" applyAlignment="0" applyProtection="0">
      <alignment vertical="top"/>
      <protection locked="0"/>
    </xf>
    <xf numFmtId="9" fontId="13" fillId="0" borderId="0" applyFont="0" applyFill="0" applyBorder="0" applyAlignment="0" applyProtection="0"/>
  </cellStyleXfs>
  <cellXfs count="323">
    <xf numFmtId="0" fontId="0" fillId="0" borderId="0" xfId="0"/>
    <xf numFmtId="0" fontId="1" fillId="0" borderId="0" xfId="0" applyFont="1"/>
    <xf numFmtId="0" fontId="0" fillId="0" borderId="3" xfId="0" applyBorder="1"/>
    <xf numFmtId="0" fontId="4" fillId="0" borderId="0" xfId="0" applyFont="1" applyAlignment="1">
      <alignment horizontal="left"/>
    </xf>
    <xf numFmtId="0" fontId="5" fillId="0" borderId="0" xfId="0" quotePrefix="1" applyFont="1" applyAlignment="1">
      <alignment horizontal="left"/>
    </xf>
    <xf numFmtId="0" fontId="6" fillId="0" borderId="0" xfId="0" quotePrefix="1" applyFont="1" applyAlignment="1">
      <alignment horizontal="left"/>
    </xf>
    <xf numFmtId="0" fontId="3" fillId="0" borderId="0" xfId="0" quotePrefix="1" applyFont="1"/>
    <xf numFmtId="0" fontId="7" fillId="0" borderId="0" xfId="0" applyFont="1" applyProtection="1">
      <protection locked="0"/>
    </xf>
    <xf numFmtId="0" fontId="0" fillId="0" borderId="14" xfId="0" applyBorder="1"/>
    <xf numFmtId="3" fontId="8" fillId="0" borderId="0" xfId="0" quotePrefix="1" applyNumberFormat="1" applyFont="1"/>
    <xf numFmtId="0" fontId="0" fillId="0" borderId="0" xfId="0" applyProtection="1">
      <protection locked="0"/>
    </xf>
    <xf numFmtId="0" fontId="0" fillId="0" borderId="10" xfId="0" applyBorder="1" applyAlignment="1">
      <alignment horizontal="center"/>
    </xf>
    <xf numFmtId="0" fontId="0" fillId="0" borderId="45" xfId="0" applyBorder="1" applyAlignment="1">
      <alignment horizontal="center"/>
    </xf>
    <xf numFmtId="0" fontId="0" fillId="0" borderId="14" xfId="0" applyBorder="1" applyAlignment="1">
      <alignment horizontal="center"/>
    </xf>
    <xf numFmtId="2" fontId="0" fillId="2" borderId="23" xfId="0" applyNumberFormat="1" applyFill="1" applyBorder="1"/>
    <xf numFmtId="0" fontId="0" fillId="0" borderId="45" xfId="0" applyBorder="1"/>
    <xf numFmtId="0" fontId="0" fillId="3" borderId="40" xfId="0" applyFill="1" applyBorder="1"/>
    <xf numFmtId="0" fontId="0" fillId="3" borderId="36" xfId="0" applyFill="1" applyBorder="1"/>
    <xf numFmtId="0" fontId="0" fillId="2" borderId="36" xfId="0" applyFill="1" applyBorder="1"/>
    <xf numFmtId="0" fontId="0" fillId="3" borderId="17" xfId="0" applyFill="1" applyBorder="1"/>
    <xf numFmtId="0" fontId="0" fillId="3" borderId="38" xfId="0" applyFill="1" applyBorder="1"/>
    <xf numFmtId="0" fontId="0" fillId="3" borderId="11" xfId="0" applyFill="1" applyBorder="1"/>
    <xf numFmtId="0" fontId="0" fillId="4" borderId="36" xfId="0" applyFill="1" applyBorder="1"/>
    <xf numFmtId="0" fontId="0" fillId="0" borderId="40" xfId="0" applyBorder="1"/>
    <xf numFmtId="0" fontId="0" fillId="0" borderId="51" xfId="0" applyBorder="1"/>
    <xf numFmtId="0" fontId="0" fillId="0" borderId="52" xfId="0" applyBorder="1"/>
    <xf numFmtId="0" fontId="0" fillId="3" borderId="7" xfId="0" applyFill="1" applyBorder="1"/>
    <xf numFmtId="0" fontId="1" fillId="3" borderId="36" xfId="0" applyFont="1" applyFill="1" applyBorder="1"/>
    <xf numFmtId="0" fontId="10" fillId="0" borderId="10" xfId="0" applyFont="1" applyBorder="1" applyAlignment="1">
      <alignment horizontal="left"/>
    </xf>
    <xf numFmtId="0" fontId="10" fillId="0" borderId="45" xfId="0" applyFont="1" applyBorder="1" applyAlignment="1">
      <alignment horizontal="left"/>
    </xf>
    <xf numFmtId="0" fontId="10" fillId="0" borderId="14" xfId="0" applyFont="1" applyBorder="1" applyAlignment="1">
      <alignment horizontal="left"/>
    </xf>
    <xf numFmtId="0" fontId="10" fillId="0" borderId="45" xfId="0" applyFont="1" applyBorder="1"/>
    <xf numFmtId="0" fontId="10" fillId="0" borderId="14" xfId="0" applyFont="1" applyBorder="1"/>
    <xf numFmtId="0" fontId="0" fillId="3" borderId="39" xfId="0" applyFill="1" applyBorder="1"/>
    <xf numFmtId="3" fontId="0" fillId="0" borderId="0" xfId="0" applyNumberFormat="1" applyProtection="1">
      <protection locked="0"/>
    </xf>
    <xf numFmtId="3" fontId="10" fillId="2" borderId="44" xfId="0" applyNumberFormat="1" applyFont="1" applyFill="1" applyBorder="1"/>
    <xf numFmtId="0" fontId="10" fillId="0" borderId="0" xfId="0" applyFont="1"/>
    <xf numFmtId="3" fontId="10" fillId="2" borderId="23" xfId="0" applyNumberFormat="1" applyFont="1" applyFill="1" applyBorder="1"/>
    <xf numFmtId="3" fontId="10" fillId="2" borderId="3" xfId="0" applyNumberFormat="1" applyFont="1" applyFill="1" applyBorder="1"/>
    <xf numFmtId="0" fontId="10" fillId="0" borderId="29" xfId="0" applyFont="1" applyBorder="1"/>
    <xf numFmtId="3" fontId="10" fillId="2" borderId="37" xfId="0" applyNumberFormat="1" applyFont="1" applyFill="1" applyBorder="1"/>
    <xf numFmtId="3" fontId="10" fillId="2" borderId="12" xfId="0" applyNumberFormat="1" applyFont="1" applyFill="1" applyBorder="1"/>
    <xf numFmtId="164" fontId="10" fillId="0" borderId="7" xfId="0" applyNumberFormat="1" applyFont="1" applyBorder="1"/>
    <xf numFmtId="0" fontId="0" fillId="3" borderId="30" xfId="0" applyFill="1" applyBorder="1"/>
    <xf numFmtId="0" fontId="0" fillId="0" borderId="29" xfId="0" applyBorder="1" applyAlignment="1">
      <alignment horizontal="center"/>
    </xf>
    <xf numFmtId="0" fontId="0" fillId="3" borderId="46" xfId="0" applyFill="1" applyBorder="1"/>
    <xf numFmtId="0" fontId="0" fillId="3" borderId="40" xfId="0" applyFill="1" applyBorder="1" applyAlignment="1">
      <alignment horizontal="center"/>
    </xf>
    <xf numFmtId="1" fontId="10" fillId="0" borderId="22" xfId="0" applyNumberFormat="1" applyFont="1" applyBorder="1"/>
    <xf numFmtId="1" fontId="10" fillId="0" borderId="23" xfId="0" applyNumberFormat="1" applyFont="1" applyBorder="1"/>
    <xf numFmtId="0" fontId="0" fillId="0" borderId="11" xfId="0" applyBorder="1"/>
    <xf numFmtId="0" fontId="0" fillId="0" borderId="34" xfId="0" applyBorder="1" applyAlignment="1">
      <alignment horizontal="center" vertical="center"/>
    </xf>
    <xf numFmtId="0" fontId="12" fillId="0" borderId="0" xfId="0" applyFont="1" applyProtection="1">
      <protection locked="0"/>
    </xf>
    <xf numFmtId="0" fontId="10" fillId="0" borderId="29" xfId="0" applyFont="1" applyBorder="1" applyAlignment="1">
      <alignment horizontal="left" indent="1"/>
    </xf>
    <xf numFmtId="0" fontId="10" fillId="0" borderId="14" xfId="0" applyFont="1" applyBorder="1" applyAlignment="1">
      <alignment horizontal="left" indent="1"/>
    </xf>
    <xf numFmtId="0" fontId="12" fillId="0" borderId="0" xfId="0" applyFont="1"/>
    <xf numFmtId="0" fontId="11" fillId="0" borderId="0" xfId="0" applyFont="1" applyAlignment="1">
      <alignment horizontal="right"/>
    </xf>
    <xf numFmtId="0" fontId="13" fillId="0" borderId="0" xfId="2"/>
    <xf numFmtId="0" fontId="10" fillId="0" borderId="0" xfId="2" applyFont="1"/>
    <xf numFmtId="0" fontId="10" fillId="0" borderId="13" xfId="2" applyFont="1" applyBorder="1" applyAlignment="1">
      <alignment horizontal="left" indent="1"/>
    </xf>
    <xf numFmtId="0" fontId="10" fillId="0" borderId="29" xfId="2" applyFont="1" applyBorder="1"/>
    <xf numFmtId="0" fontId="10" fillId="3" borderId="14" xfId="2" applyFont="1" applyFill="1" applyBorder="1"/>
    <xf numFmtId="0" fontId="12" fillId="0" borderId="0" xfId="2" applyFont="1"/>
    <xf numFmtId="0" fontId="10" fillId="3" borderId="17" xfId="2" applyFont="1" applyFill="1" applyBorder="1" applyAlignment="1">
      <alignment horizontal="center"/>
    </xf>
    <xf numFmtId="0" fontId="10" fillId="3" borderId="38" xfId="2" applyFont="1" applyFill="1" applyBorder="1" applyAlignment="1">
      <alignment horizontal="center"/>
    </xf>
    <xf numFmtId="0" fontId="10" fillId="3" borderId="11" xfId="2" applyFont="1" applyFill="1" applyBorder="1" applyAlignment="1">
      <alignment horizontal="center"/>
    </xf>
    <xf numFmtId="0" fontId="0" fillId="0" borderId="37" xfId="0" applyBorder="1"/>
    <xf numFmtId="0" fontId="0" fillId="0" borderId="12" xfId="0" applyBorder="1"/>
    <xf numFmtId="0" fontId="10" fillId="0" borderId="26" xfId="2" applyFont="1" applyBorder="1" applyProtection="1">
      <protection locked="0"/>
    </xf>
    <xf numFmtId="0" fontId="10" fillId="0" borderId="37" xfId="2" applyFont="1" applyBorder="1" applyProtection="1">
      <protection locked="0"/>
    </xf>
    <xf numFmtId="0" fontId="10" fillId="0" borderId="12" xfId="2" applyFont="1" applyBorder="1" applyProtection="1">
      <protection locked="0"/>
    </xf>
    <xf numFmtId="0" fontId="10" fillId="0" borderId="28" xfId="2" applyFont="1" applyBorder="1"/>
    <xf numFmtId="0" fontId="0" fillId="0" borderId="43" xfId="0" applyBorder="1"/>
    <xf numFmtId="0" fontId="0" fillId="0" borderId="40" xfId="0" applyBorder="1" applyAlignment="1">
      <alignment horizontal="center"/>
    </xf>
    <xf numFmtId="0" fontId="15" fillId="3" borderId="16" xfId="0" applyFont="1" applyFill="1" applyBorder="1"/>
    <xf numFmtId="0" fontId="0" fillId="3" borderId="7" xfId="0" applyFill="1" applyBorder="1" applyAlignment="1">
      <alignment horizontal="left"/>
    </xf>
    <xf numFmtId="0" fontId="0" fillId="3" borderId="54" xfId="0" applyFill="1" applyBorder="1" applyAlignment="1">
      <alignment horizontal="left"/>
    </xf>
    <xf numFmtId="0" fontId="0" fillId="0" borderId="35" xfId="0" applyBorder="1"/>
    <xf numFmtId="0" fontId="0" fillId="0" borderId="7" xfId="0" applyBorder="1"/>
    <xf numFmtId="2" fontId="0" fillId="0" borderId="8" xfId="0" applyNumberFormat="1" applyBorder="1" applyAlignment="1">
      <alignment horizontal="center"/>
    </xf>
    <xf numFmtId="2" fontId="0" fillId="0" borderId="9" xfId="0" applyNumberFormat="1" applyBorder="1" applyAlignment="1">
      <alignment horizontal="center"/>
    </xf>
    <xf numFmtId="0" fontId="0" fillId="0" borderId="9" xfId="0" applyBorder="1"/>
    <xf numFmtId="0" fontId="0" fillId="0" borderId="10" xfId="0" applyBorder="1"/>
    <xf numFmtId="0" fontId="0" fillId="0" borderId="13" xfId="0" applyBorder="1"/>
    <xf numFmtId="0" fontId="16" fillId="0" borderId="0" xfId="0" applyFont="1" applyAlignment="1">
      <alignment horizontal="left"/>
    </xf>
    <xf numFmtId="0" fontId="10" fillId="0" borderId="0" xfId="0" quotePrefix="1" applyFont="1" applyAlignment="1">
      <alignment horizontal="left"/>
    </xf>
    <xf numFmtId="0" fontId="0" fillId="0" borderId="44" xfId="0" applyBorder="1"/>
    <xf numFmtId="0" fontId="10" fillId="0" borderId="3" xfId="2" applyFont="1" applyBorder="1"/>
    <xf numFmtId="164" fontId="10" fillId="0" borderId="58" xfId="2" applyNumberFormat="1" applyFont="1" applyBorder="1"/>
    <xf numFmtId="0" fontId="12" fillId="3" borderId="36" xfId="2" applyFont="1" applyFill="1" applyBorder="1" applyAlignment="1">
      <alignment horizontal="center"/>
    </xf>
    <xf numFmtId="0" fontId="12" fillId="3" borderId="39" xfId="2" applyFont="1" applyFill="1" applyBorder="1" applyAlignment="1">
      <alignment horizontal="center"/>
    </xf>
    <xf numFmtId="0" fontId="12" fillId="3" borderId="40" xfId="2" applyFont="1" applyFill="1" applyBorder="1" applyAlignment="1">
      <alignment horizontal="center"/>
    </xf>
    <xf numFmtId="0" fontId="12" fillId="3" borderId="47" xfId="2" applyFont="1" applyFill="1" applyBorder="1" applyAlignment="1">
      <alignment horizontal="center"/>
    </xf>
    <xf numFmtId="0" fontId="12" fillId="3" borderId="57" xfId="2" applyFont="1" applyFill="1" applyBorder="1" applyAlignment="1">
      <alignment horizontal="center"/>
    </xf>
    <xf numFmtId="0" fontId="12" fillId="3" borderId="30" xfId="2" applyFont="1" applyFill="1" applyBorder="1" applyAlignment="1">
      <alignment horizontal="center"/>
    </xf>
    <xf numFmtId="0" fontId="12" fillId="3" borderId="4" xfId="0" applyFont="1" applyFill="1" applyBorder="1" applyAlignment="1">
      <alignment horizontal="center"/>
    </xf>
    <xf numFmtId="0" fontId="12" fillId="3" borderId="5" xfId="0" applyFont="1" applyFill="1" applyBorder="1" applyAlignment="1">
      <alignment horizontal="center"/>
    </xf>
    <xf numFmtId="0" fontId="12" fillId="3" borderId="5" xfId="0" applyFont="1" applyFill="1" applyBorder="1"/>
    <xf numFmtId="0" fontId="12" fillId="3" borderId="6" xfId="0" applyFont="1" applyFill="1" applyBorder="1"/>
    <xf numFmtId="0" fontId="10" fillId="0" borderId="35" xfId="0" applyFont="1" applyBorder="1"/>
    <xf numFmtId="0" fontId="10" fillId="0" borderId="13" xfId="0" applyFont="1" applyBorder="1"/>
    <xf numFmtId="0" fontId="10" fillId="0" borderId="37" xfId="0" applyFont="1" applyBorder="1"/>
    <xf numFmtId="2" fontId="9" fillId="0" borderId="37" xfId="0" applyNumberFormat="1" applyFont="1" applyBorder="1"/>
    <xf numFmtId="10" fontId="10" fillId="0" borderId="37" xfId="1" applyNumberFormat="1" applyFont="1" applyBorder="1" applyProtection="1">
      <protection locked="0"/>
    </xf>
    <xf numFmtId="10" fontId="9" fillId="0" borderId="37" xfId="1" applyNumberFormat="1" applyFont="1" applyBorder="1"/>
    <xf numFmtId="165" fontId="10" fillId="0" borderId="12" xfId="1" applyNumberFormat="1" applyFont="1" applyBorder="1"/>
    <xf numFmtId="0" fontId="10" fillId="3" borderId="38" xfId="0" applyFont="1" applyFill="1" applyBorder="1" applyAlignment="1">
      <alignment horizontal="right"/>
    </xf>
    <xf numFmtId="0" fontId="10" fillId="3" borderId="11" xfId="0" applyFont="1" applyFill="1" applyBorder="1" applyAlignment="1">
      <alignment horizontal="right"/>
    </xf>
    <xf numFmtId="0" fontId="0" fillId="0" borderId="0" xfId="0" applyAlignment="1">
      <alignment horizontal="center"/>
    </xf>
    <xf numFmtId="0" fontId="1" fillId="3" borderId="4" xfId="0" applyFont="1" applyFill="1" applyBorder="1"/>
    <xf numFmtId="0" fontId="1" fillId="3" borderId="5" xfId="0" applyFont="1" applyFill="1" applyBorder="1"/>
    <xf numFmtId="0" fontId="1" fillId="3" borderId="6" xfId="0" applyFont="1" applyFill="1" applyBorder="1"/>
    <xf numFmtId="0" fontId="0" fillId="0" borderId="23" xfId="0" applyBorder="1"/>
    <xf numFmtId="0" fontId="12" fillId="3" borderId="15" xfId="0" applyFont="1" applyFill="1" applyBorder="1"/>
    <xf numFmtId="0" fontId="12" fillId="3" borderId="16" xfId="0" applyFont="1" applyFill="1" applyBorder="1"/>
    <xf numFmtId="0" fontId="12" fillId="3" borderId="18" xfId="0" applyFont="1" applyFill="1" applyBorder="1" applyAlignment="1">
      <alignment horizontal="center"/>
    </xf>
    <xf numFmtId="0" fontId="12" fillId="3" borderId="24" xfId="0" applyFont="1" applyFill="1" applyBorder="1" applyAlignment="1">
      <alignment horizontal="center"/>
    </xf>
    <xf numFmtId="0" fontId="12" fillId="3" borderId="20" xfId="0" applyFont="1" applyFill="1" applyBorder="1" applyAlignment="1">
      <alignment horizontal="center"/>
    </xf>
    <xf numFmtId="0" fontId="0" fillId="3" borderId="6" xfId="0" applyFill="1" applyBorder="1"/>
    <xf numFmtId="0" fontId="12" fillId="3" borderId="6" xfId="0" applyFont="1" applyFill="1" applyBorder="1" applyAlignment="1">
      <alignment horizontal="center"/>
    </xf>
    <xf numFmtId="0" fontId="12" fillId="3" borderId="19" xfId="0" applyFont="1" applyFill="1" applyBorder="1" applyAlignment="1">
      <alignment horizontal="center"/>
    </xf>
    <xf numFmtId="0" fontId="12" fillId="3" borderId="25" xfId="0" applyFont="1" applyFill="1" applyBorder="1" applyAlignment="1">
      <alignment horizontal="center"/>
    </xf>
    <xf numFmtId="0" fontId="12" fillId="3" borderId="21" xfId="0" applyFont="1" applyFill="1" applyBorder="1" applyAlignment="1">
      <alignment horizontal="center"/>
    </xf>
    <xf numFmtId="0" fontId="12" fillId="3" borderId="28" xfId="0" applyFont="1" applyFill="1" applyBorder="1" applyAlignment="1">
      <alignment horizontal="center"/>
    </xf>
    <xf numFmtId="3" fontId="10" fillId="2" borderId="26" xfId="0" applyNumberFormat="1" applyFont="1" applyFill="1" applyBorder="1"/>
    <xf numFmtId="3" fontId="10" fillId="2" borderId="13" xfId="0" applyNumberFormat="1" applyFont="1" applyFill="1" applyBorder="1"/>
    <xf numFmtId="4" fontId="10" fillId="2" borderId="22" xfId="0" applyNumberFormat="1" applyFont="1" applyFill="1" applyBorder="1"/>
    <xf numFmtId="4" fontId="10" fillId="2" borderId="26" xfId="0" applyNumberFormat="1" applyFont="1" applyFill="1" applyBorder="1"/>
    <xf numFmtId="4" fontId="10" fillId="2" borderId="3" xfId="0" applyNumberFormat="1" applyFont="1" applyFill="1" applyBorder="1"/>
    <xf numFmtId="4" fontId="10" fillId="2" borderId="29" xfId="0" applyNumberFormat="1" applyFont="1" applyFill="1" applyBorder="1"/>
    <xf numFmtId="4" fontId="10" fillId="2" borderId="12" xfId="0" applyNumberFormat="1" applyFont="1" applyFill="1" applyBorder="1"/>
    <xf numFmtId="4" fontId="10" fillId="2" borderId="14" xfId="0" applyNumberFormat="1" applyFont="1" applyFill="1" applyBorder="1"/>
    <xf numFmtId="4" fontId="10" fillId="2" borderId="21" xfId="0" applyNumberFormat="1" applyFont="1" applyFill="1" applyBorder="1"/>
    <xf numFmtId="4" fontId="10" fillId="2" borderId="28" xfId="0" applyNumberFormat="1" applyFont="1" applyFill="1" applyBorder="1"/>
    <xf numFmtId="2" fontId="10" fillId="0" borderId="12" xfId="0" applyNumberFormat="1" applyFont="1" applyBorder="1" applyAlignment="1">
      <alignment horizontal="center"/>
    </xf>
    <xf numFmtId="2" fontId="10" fillId="0" borderId="13" xfId="0" applyNumberFormat="1" applyFont="1" applyBorder="1" applyAlignment="1">
      <alignment horizontal="center"/>
    </xf>
    <xf numFmtId="0" fontId="17" fillId="0" borderId="0" xfId="0" applyFont="1"/>
    <xf numFmtId="0" fontId="1" fillId="3" borderId="7" xfId="0" applyFont="1" applyFill="1" applyBorder="1"/>
    <xf numFmtId="0" fontId="1" fillId="3" borderId="8" xfId="0" applyFont="1" applyFill="1" applyBorder="1"/>
    <xf numFmtId="0" fontId="1" fillId="3" borderId="9" xfId="0" applyFont="1" applyFill="1" applyBorder="1"/>
    <xf numFmtId="0" fontId="1" fillId="3" borderId="10" xfId="0" applyFont="1" applyFill="1" applyBorder="1"/>
    <xf numFmtId="0" fontId="12" fillId="0" borderId="0" xfId="0" applyFont="1" applyAlignment="1">
      <alignment horizontal="right" vertical="center"/>
    </xf>
    <xf numFmtId="0" fontId="0" fillId="0" borderId="0" xfId="0" applyAlignment="1">
      <alignment horizontal="center" vertical="center"/>
    </xf>
    <xf numFmtId="4" fontId="10" fillId="0" borderId="0" xfId="0" applyNumberFormat="1" applyFont="1" applyAlignment="1">
      <alignment horizontal="right" vertical="center"/>
    </xf>
    <xf numFmtId="0" fontId="0" fillId="5" borderId="16" xfId="0" applyFill="1" applyBorder="1"/>
    <xf numFmtId="4" fontId="10" fillId="5" borderId="31" xfId="0" applyNumberFormat="1" applyFont="1" applyFill="1" applyBorder="1" applyAlignment="1">
      <alignment horizontal="right" vertical="center"/>
    </xf>
    <xf numFmtId="164" fontId="10" fillId="0" borderId="2" xfId="2" applyNumberFormat="1" applyFont="1" applyBorder="1"/>
    <xf numFmtId="0" fontId="10" fillId="3" borderId="7" xfId="2" applyFont="1" applyFill="1" applyBorder="1" applyAlignment="1">
      <alignment horizontal="center"/>
    </xf>
    <xf numFmtId="0" fontId="10" fillId="0" borderId="9" xfId="2" applyFont="1" applyBorder="1" applyProtection="1">
      <protection locked="0"/>
    </xf>
    <xf numFmtId="0" fontId="10" fillId="0" borderId="10" xfId="2" applyFont="1" applyBorder="1"/>
    <xf numFmtId="0" fontId="10" fillId="0" borderId="13" xfId="2" applyFont="1" applyBorder="1" applyProtection="1">
      <protection locked="0"/>
    </xf>
    <xf numFmtId="164" fontId="10" fillId="0" borderId="59" xfId="2" applyNumberFormat="1" applyFont="1" applyBorder="1"/>
    <xf numFmtId="164" fontId="10" fillId="0" borderId="27" xfId="2" applyNumberFormat="1" applyFont="1" applyBorder="1"/>
    <xf numFmtId="0" fontId="10" fillId="0" borderId="8" xfId="2" applyFont="1" applyBorder="1" applyProtection="1">
      <protection locked="0"/>
    </xf>
    <xf numFmtId="0" fontId="10" fillId="0" borderId="7" xfId="2" applyFont="1" applyBorder="1" applyAlignment="1">
      <alignment horizontal="center"/>
    </xf>
    <xf numFmtId="0" fontId="10" fillId="0" borderId="38" xfId="2" applyFont="1" applyBorder="1" applyAlignment="1" applyProtection="1">
      <alignment horizontal="center"/>
      <protection locked="0"/>
    </xf>
    <xf numFmtId="0" fontId="10" fillId="0" borderId="11" xfId="2" applyFont="1" applyBorder="1" applyAlignment="1" applyProtection="1">
      <alignment horizontal="center"/>
      <protection locked="0"/>
    </xf>
    <xf numFmtId="0" fontId="10" fillId="0" borderId="17" xfId="2" applyFont="1" applyBorder="1" applyAlignment="1">
      <alignment horizontal="center"/>
    </xf>
    <xf numFmtId="0" fontId="10" fillId="0" borderId="16" xfId="2" applyFont="1" applyBorder="1" applyAlignment="1">
      <alignment horizontal="center"/>
    </xf>
    <xf numFmtId="0" fontId="10" fillId="0" borderId="63" xfId="2" applyFont="1" applyBorder="1"/>
    <xf numFmtId="0" fontId="10" fillId="3" borderId="53" xfId="2" applyFont="1" applyFill="1" applyBorder="1" applyAlignment="1">
      <alignment horizontal="center"/>
    </xf>
    <xf numFmtId="0" fontId="10" fillId="0" borderId="62" xfId="2" applyFont="1" applyBorder="1" applyAlignment="1">
      <alignment horizontal="center"/>
    </xf>
    <xf numFmtId="0" fontId="10" fillId="0" borderId="1" xfId="2" applyFont="1" applyBorder="1" applyProtection="1">
      <protection locked="0"/>
    </xf>
    <xf numFmtId="164" fontId="10" fillId="0" borderId="64" xfId="2" applyNumberFormat="1" applyFont="1" applyBorder="1"/>
    <xf numFmtId="167" fontId="10" fillId="0" borderId="13" xfId="2" applyNumberFormat="1" applyFont="1" applyBorder="1"/>
    <xf numFmtId="167" fontId="10" fillId="0" borderId="9" xfId="2" applyNumberFormat="1" applyFont="1" applyBorder="1"/>
    <xf numFmtId="167" fontId="10" fillId="0" borderId="35" xfId="2" applyNumberFormat="1" applyFont="1" applyBorder="1"/>
    <xf numFmtId="168" fontId="10" fillId="0" borderId="5" xfId="2" applyNumberFormat="1" applyFont="1" applyBorder="1"/>
    <xf numFmtId="168" fontId="10" fillId="0" borderId="35" xfId="2" applyNumberFormat="1" applyFont="1" applyBorder="1" applyProtection="1">
      <protection locked="0"/>
    </xf>
    <xf numFmtId="168" fontId="10" fillId="0" borderId="13" xfId="2" applyNumberFormat="1" applyFont="1" applyBorder="1" applyProtection="1">
      <protection locked="0"/>
    </xf>
    <xf numFmtId="168" fontId="10" fillId="0" borderId="9" xfId="2" applyNumberFormat="1" applyFont="1" applyBorder="1"/>
    <xf numFmtId="168" fontId="10" fillId="0" borderId="35" xfId="2" applyNumberFormat="1" applyFont="1" applyBorder="1"/>
    <xf numFmtId="168" fontId="10" fillId="0" borderId="13" xfId="2" applyNumberFormat="1" applyFont="1" applyBorder="1"/>
    <xf numFmtId="168" fontId="10" fillId="0" borderId="26" xfId="2" applyNumberFormat="1" applyFont="1" applyBorder="1"/>
    <xf numFmtId="168" fontId="10" fillId="0" borderId="60" xfId="2" applyNumberFormat="1" applyFont="1" applyBorder="1"/>
    <xf numFmtId="0" fontId="10" fillId="0" borderId="61" xfId="2" applyFont="1" applyBorder="1"/>
    <xf numFmtId="0" fontId="10" fillId="0" borderId="32" xfId="2" applyFont="1" applyBorder="1"/>
    <xf numFmtId="0" fontId="10" fillId="0" borderId="14" xfId="2" applyFont="1" applyBorder="1"/>
    <xf numFmtId="164" fontId="10" fillId="0" borderId="59" xfId="2" applyNumberFormat="1" applyFont="1" applyBorder="1" applyProtection="1">
      <protection locked="0"/>
    </xf>
    <xf numFmtId="164" fontId="10" fillId="0" borderId="37" xfId="2" applyNumberFormat="1" applyFont="1" applyBorder="1" applyProtection="1">
      <protection locked="0"/>
    </xf>
    <xf numFmtId="164" fontId="10" fillId="0" borderId="27" xfId="2" applyNumberFormat="1" applyFont="1" applyBorder="1" applyProtection="1">
      <protection locked="0"/>
    </xf>
    <xf numFmtId="0" fontId="10" fillId="0" borderId="17" xfId="2" applyFont="1" applyBorder="1"/>
    <xf numFmtId="0" fontId="10" fillId="0" borderId="16" xfId="2" applyFont="1" applyBorder="1"/>
    <xf numFmtId="0" fontId="12" fillId="3" borderId="42" xfId="2" applyFont="1" applyFill="1" applyBorder="1" applyAlignment="1">
      <alignment horizontal="center"/>
    </xf>
    <xf numFmtId="0" fontId="12" fillId="3" borderId="5" xfId="2" applyFont="1" applyFill="1" applyBorder="1" applyAlignment="1">
      <alignment horizontal="center"/>
    </xf>
    <xf numFmtId="0" fontId="12" fillId="3" borderId="24" xfId="2" applyFont="1" applyFill="1" applyBorder="1" applyAlignment="1">
      <alignment horizontal="center"/>
    </xf>
    <xf numFmtId="0" fontId="12" fillId="3" borderId="7" xfId="2" applyFont="1" applyFill="1" applyBorder="1" applyAlignment="1">
      <alignment horizontal="center"/>
    </xf>
    <xf numFmtId="0" fontId="12" fillId="3" borderId="11" xfId="2" applyFont="1" applyFill="1" applyBorder="1" applyAlignment="1">
      <alignment horizontal="center"/>
    </xf>
    <xf numFmtId="3" fontId="10" fillId="3" borderId="43" xfId="2" applyNumberFormat="1" applyFont="1" applyFill="1" applyBorder="1" applyAlignment="1">
      <alignment horizontal="center"/>
    </xf>
    <xf numFmtId="3" fontId="10" fillId="3" borderId="9" xfId="2" applyNumberFormat="1" applyFont="1" applyFill="1" applyBorder="1" applyAlignment="1">
      <alignment horizontal="center"/>
    </xf>
    <xf numFmtId="3" fontId="10" fillId="3" borderId="10" xfId="2" applyNumberFormat="1" applyFont="1" applyFill="1" applyBorder="1" applyAlignment="1">
      <alignment horizontal="center"/>
    </xf>
    <xf numFmtId="3" fontId="10" fillId="3" borderId="23" xfId="2" applyNumberFormat="1" applyFont="1" applyFill="1" applyBorder="1" applyAlignment="1">
      <alignment horizontal="center"/>
    </xf>
    <xf numFmtId="3" fontId="10" fillId="3" borderId="13" xfId="2" applyNumberFormat="1" applyFont="1" applyFill="1" applyBorder="1" applyAlignment="1">
      <alignment horizontal="center"/>
    </xf>
    <xf numFmtId="3" fontId="10" fillId="3" borderId="14" xfId="2" applyNumberFormat="1" applyFont="1" applyFill="1" applyBorder="1" applyAlignment="1">
      <alignment horizontal="center"/>
    </xf>
    <xf numFmtId="0" fontId="10" fillId="3" borderId="50" xfId="2" applyFont="1" applyFill="1" applyBorder="1" applyAlignment="1">
      <alignment horizontal="center" vertical="center"/>
    </xf>
    <xf numFmtId="0" fontId="0" fillId="0" borderId="0" xfId="0" applyAlignment="1">
      <alignment horizontal="left"/>
    </xf>
    <xf numFmtId="0" fontId="0" fillId="0" borderId="0" xfId="0" applyAlignment="1">
      <alignment horizontal="right"/>
    </xf>
    <xf numFmtId="0" fontId="19" fillId="0" borderId="0" xfId="0" applyFont="1"/>
    <xf numFmtId="9" fontId="10" fillId="4" borderId="38" xfId="1" applyFont="1" applyFill="1" applyBorder="1" applyAlignment="1" applyProtection="1">
      <protection locked="0"/>
    </xf>
    <xf numFmtId="9" fontId="10" fillId="4" borderId="11" xfId="1" applyFont="1" applyFill="1" applyBorder="1" applyAlignment="1" applyProtection="1">
      <protection locked="0"/>
    </xf>
    <xf numFmtId="0" fontId="10" fillId="3" borderId="7" xfId="2" applyFont="1" applyFill="1" applyBorder="1" applyAlignment="1">
      <alignment horizontal="center" vertical="center"/>
    </xf>
    <xf numFmtId="0" fontId="10" fillId="3" borderId="36" xfId="2" applyFont="1" applyFill="1" applyBorder="1" applyAlignment="1">
      <alignment horizontal="center" vertical="center"/>
    </xf>
    <xf numFmtId="3" fontId="0" fillId="0" borderId="0" xfId="0" applyNumberFormat="1"/>
    <xf numFmtId="3" fontId="13" fillId="0" borderId="0" xfId="2" applyNumberFormat="1"/>
    <xf numFmtId="0" fontId="10" fillId="3" borderId="16" xfId="2" applyFont="1" applyFill="1" applyBorder="1"/>
    <xf numFmtId="0" fontId="10" fillId="0" borderId="65" xfId="2" applyFont="1" applyBorder="1" applyAlignment="1" applyProtection="1">
      <alignment horizontal="center"/>
      <protection locked="0"/>
    </xf>
    <xf numFmtId="0" fontId="10" fillId="0" borderId="48" xfId="2" applyFont="1" applyBorder="1" applyAlignment="1">
      <alignment horizontal="left" indent="1"/>
    </xf>
    <xf numFmtId="0" fontId="10" fillId="3" borderId="28" xfId="2" applyFont="1" applyFill="1" applyBorder="1"/>
    <xf numFmtId="0" fontId="10" fillId="3" borderId="43" xfId="2" applyFont="1" applyFill="1" applyBorder="1"/>
    <xf numFmtId="0" fontId="10" fillId="0" borderId="9" xfId="2" applyFont="1" applyBorder="1" applyAlignment="1" applyProtection="1">
      <alignment horizontal="center"/>
      <protection locked="0"/>
    </xf>
    <xf numFmtId="0" fontId="10" fillId="0" borderId="9" xfId="2" applyFont="1" applyBorder="1" applyAlignment="1">
      <alignment horizontal="left" indent="1"/>
    </xf>
    <xf numFmtId="0" fontId="10" fillId="3" borderId="10" xfId="2" applyFont="1" applyFill="1" applyBorder="1"/>
    <xf numFmtId="0" fontId="10" fillId="3" borderId="23" xfId="2" applyFont="1" applyFill="1" applyBorder="1"/>
    <xf numFmtId="0" fontId="10" fillId="0" borderId="13" xfId="2" applyFont="1" applyBorder="1" applyAlignment="1" applyProtection="1">
      <alignment horizontal="center"/>
      <protection locked="0"/>
    </xf>
    <xf numFmtId="0" fontId="10" fillId="0" borderId="43" xfId="2" applyFont="1" applyBorder="1"/>
    <xf numFmtId="0" fontId="10" fillId="0" borderId="10" xfId="2" applyFont="1" applyBorder="1" applyProtection="1">
      <protection locked="0"/>
    </xf>
    <xf numFmtId="0" fontId="10" fillId="0" borderId="23" xfId="2" applyFont="1" applyBorder="1" applyProtection="1">
      <protection locked="0"/>
    </xf>
    <xf numFmtId="0" fontId="10" fillId="0" borderId="52" xfId="2" applyFont="1" applyBorder="1" applyProtection="1">
      <protection locked="0"/>
    </xf>
    <xf numFmtId="0" fontId="10" fillId="0" borderId="0" xfId="2" applyFont="1" applyAlignment="1">
      <alignment horizontal="left"/>
    </xf>
    <xf numFmtId="0" fontId="0" fillId="0" borderId="50" xfId="0" applyBorder="1" applyAlignment="1">
      <alignment horizontal="center"/>
    </xf>
    <xf numFmtId="2" fontId="10" fillId="0" borderId="0" xfId="0" applyNumberFormat="1" applyFont="1"/>
    <xf numFmtId="2" fontId="0" fillId="5" borderId="39" xfId="0" applyNumberFormat="1" applyFill="1" applyBorder="1"/>
    <xf numFmtId="3" fontId="0" fillId="2" borderId="43" xfId="0" applyNumberFormat="1" applyFill="1" applyBorder="1"/>
    <xf numFmtId="0" fontId="0" fillId="0" borderId="43" xfId="0" applyBorder="1" applyAlignment="1">
      <alignment wrapText="1"/>
    </xf>
    <xf numFmtId="0" fontId="10" fillId="6" borderId="37" xfId="2" applyFont="1" applyFill="1" applyBorder="1" applyProtection="1">
      <protection locked="0"/>
    </xf>
    <xf numFmtId="0" fontId="10" fillId="6" borderId="35" xfId="2" applyFont="1" applyFill="1" applyBorder="1" applyProtection="1">
      <protection locked="0"/>
    </xf>
    <xf numFmtId="0" fontId="10" fillId="6" borderId="12" xfId="2" applyFont="1" applyFill="1" applyBorder="1" applyProtection="1">
      <protection locked="0"/>
    </xf>
    <xf numFmtId="167" fontId="10" fillId="6" borderId="37" xfId="2" applyNumberFormat="1" applyFont="1" applyFill="1" applyBorder="1"/>
    <xf numFmtId="167" fontId="10" fillId="6" borderId="35" xfId="2" applyNumberFormat="1" applyFont="1" applyFill="1" applyBorder="1"/>
    <xf numFmtId="0" fontId="10" fillId="0" borderId="44" xfId="2" applyFont="1" applyBorder="1" applyProtection="1">
      <protection locked="0"/>
    </xf>
    <xf numFmtId="0" fontId="10" fillId="0" borderId="51" xfId="2" applyFont="1" applyBorder="1" applyProtection="1">
      <protection locked="0"/>
    </xf>
    <xf numFmtId="0" fontId="10" fillId="0" borderId="35" xfId="2" applyFont="1" applyBorder="1" applyProtection="1">
      <protection locked="0"/>
    </xf>
    <xf numFmtId="0" fontId="10" fillId="0" borderId="45" xfId="2" applyFont="1" applyBorder="1" applyProtection="1">
      <protection locked="0"/>
    </xf>
    <xf numFmtId="164" fontId="10" fillId="0" borderId="44" xfId="2" applyNumberFormat="1" applyFont="1" applyBorder="1"/>
    <xf numFmtId="164" fontId="10" fillId="0" borderId="35" xfId="2" applyNumberFormat="1" applyFont="1" applyBorder="1"/>
    <xf numFmtId="164" fontId="10" fillId="0" borderId="45" xfId="2" applyNumberFormat="1" applyFont="1" applyBorder="1"/>
    <xf numFmtId="2" fontId="10" fillId="0" borderId="0" xfId="0" applyNumberFormat="1" applyFont="1" applyAlignment="1">
      <alignment horizontal="center"/>
    </xf>
    <xf numFmtId="0" fontId="20" fillId="0" borderId="0" xfId="0" applyFont="1"/>
    <xf numFmtId="3" fontId="10" fillId="4" borderId="43" xfId="0" applyNumberFormat="1" applyFont="1" applyFill="1" applyBorder="1" applyProtection="1">
      <protection locked="0"/>
    </xf>
    <xf numFmtId="3" fontId="10" fillId="4" borderId="44" xfId="0" applyNumberFormat="1" applyFont="1" applyFill="1" applyBorder="1" applyProtection="1">
      <protection locked="0"/>
    </xf>
    <xf numFmtId="3" fontId="10" fillId="4" borderId="37" xfId="0" applyNumberFormat="1" applyFont="1" applyFill="1" applyBorder="1" applyProtection="1">
      <protection locked="0"/>
    </xf>
    <xf numFmtId="166" fontId="10" fillId="2" borderId="23" xfId="0" applyNumberFormat="1" applyFont="1" applyFill="1" applyBorder="1"/>
    <xf numFmtId="166" fontId="10" fillId="2" borderId="13" xfId="0" applyNumberFormat="1" applyFont="1" applyFill="1" applyBorder="1"/>
    <xf numFmtId="3" fontId="10" fillId="2" borderId="22" xfId="0" applyNumberFormat="1" applyFont="1" applyFill="1" applyBorder="1"/>
    <xf numFmtId="0" fontId="0" fillId="0" borderId="0" xfId="0" applyAlignment="1" applyProtection="1">
      <alignment vertical="center"/>
      <protection locked="0"/>
    </xf>
    <xf numFmtId="0" fontId="0" fillId="0" borderId="0" xfId="0" applyAlignment="1">
      <alignment vertical="center"/>
    </xf>
    <xf numFmtId="3" fontId="10" fillId="0" borderId="0" xfId="0" applyNumberFormat="1" applyFont="1" applyProtection="1">
      <protection locked="0"/>
    </xf>
    <xf numFmtId="0" fontId="10" fillId="0" borderId="0" xfId="0" applyFont="1" applyAlignment="1">
      <alignment horizontal="left"/>
    </xf>
    <xf numFmtId="3" fontId="10" fillId="0" borderId="0" xfId="0" applyNumberFormat="1" applyFont="1"/>
    <xf numFmtId="0" fontId="19" fillId="0" borderId="0" xfId="0" applyFont="1" applyAlignment="1">
      <alignment horizontal="left"/>
    </xf>
    <xf numFmtId="0" fontId="10" fillId="0" borderId="0" xfId="2" applyFont="1" applyAlignment="1">
      <alignment horizontal="center"/>
    </xf>
    <xf numFmtId="3" fontId="10" fillId="0" borderId="0" xfId="2" applyNumberFormat="1" applyFont="1" applyProtection="1">
      <protection locked="0"/>
    </xf>
    <xf numFmtId="4" fontId="10" fillId="0" borderId="0" xfId="2" applyNumberFormat="1" applyFont="1"/>
    <xf numFmtId="0" fontId="10" fillId="0" borderId="0" xfId="2" applyFont="1" applyAlignment="1">
      <alignment horizontal="left" indent="1"/>
    </xf>
    <xf numFmtId="0" fontId="10" fillId="0" borderId="0" xfId="2" applyFont="1" applyAlignment="1">
      <alignment horizontal="right" indent="1"/>
    </xf>
    <xf numFmtId="9" fontId="10" fillId="0" borderId="0" xfId="4" applyFont="1" applyFill="1" applyBorder="1" applyProtection="1"/>
    <xf numFmtId="9" fontId="10" fillId="0" borderId="0" xfId="4" applyFont="1" applyFill="1" applyBorder="1" applyProtection="1">
      <protection locked="0"/>
    </xf>
    <xf numFmtId="0" fontId="11" fillId="0" borderId="0" xfId="2" applyFont="1"/>
    <xf numFmtId="0" fontId="10" fillId="0" borderId="0" xfId="2" applyFont="1" applyAlignment="1" applyProtection="1">
      <alignment horizontal="right"/>
      <protection locked="0"/>
    </xf>
    <xf numFmtId="0" fontId="0" fillId="0" borderId="0" xfId="0" applyAlignment="1" applyProtection="1">
      <alignment horizontal="right"/>
      <protection locked="0"/>
    </xf>
    <xf numFmtId="164" fontId="10" fillId="0" borderId="0" xfId="0" applyNumberFormat="1" applyFont="1"/>
    <xf numFmtId="0" fontId="10" fillId="0" borderId="0" xfId="0" applyFont="1" applyAlignment="1">
      <alignment horizontal="right"/>
    </xf>
    <xf numFmtId="9" fontId="10" fillId="0" borderId="0" xfId="1" applyFont="1" applyFill="1" applyBorder="1" applyAlignment="1" applyProtection="1">
      <protection locked="0"/>
    </xf>
    <xf numFmtId="0" fontId="15" fillId="0" borderId="0" xfId="0" applyFont="1" applyAlignment="1">
      <alignment horizontal="right"/>
    </xf>
    <xf numFmtId="0" fontId="12" fillId="0" borderId="0" xfId="0" applyFont="1" applyAlignment="1">
      <alignment horizontal="center"/>
    </xf>
    <xf numFmtId="0" fontId="10" fillId="0" borderId="0" xfId="0" applyFont="1" applyAlignment="1">
      <alignment horizontal="left" indent="1"/>
    </xf>
    <xf numFmtId="4" fontId="10" fillId="0" borderId="0" xfId="0" applyNumberFormat="1" applyFont="1"/>
    <xf numFmtId="0" fontId="12" fillId="0" borderId="0" xfId="0" applyFont="1" applyAlignment="1">
      <alignment horizontal="right"/>
    </xf>
    <xf numFmtId="0" fontId="1" fillId="0" borderId="36" xfId="0" applyFont="1" applyBorder="1"/>
    <xf numFmtId="0" fontId="0" fillId="0" borderId="39" xfId="0" applyBorder="1"/>
    <xf numFmtId="0" fontId="0" fillId="0" borderId="38" xfId="0" applyBorder="1"/>
    <xf numFmtId="0" fontId="0" fillId="0" borderId="36" xfId="0" applyBorder="1"/>
    <xf numFmtId="3" fontId="0" fillId="0" borderId="39" xfId="0" applyNumberFormat="1" applyBorder="1" applyProtection="1">
      <protection locked="0"/>
    </xf>
    <xf numFmtId="0" fontId="0" fillId="0" borderId="40" xfId="0" applyBorder="1" applyAlignment="1">
      <alignment horizontal="left"/>
    </xf>
    <xf numFmtId="0" fontId="10" fillId="0" borderId="17" xfId="0" applyFont="1" applyBorder="1"/>
    <xf numFmtId="0" fontId="10" fillId="0" borderId="38" xfId="0" applyFont="1" applyBorder="1"/>
    <xf numFmtId="0" fontId="10" fillId="0" borderId="11" xfId="0" applyFont="1" applyBorder="1"/>
    <xf numFmtId="0" fontId="0" fillId="0" borderId="54" xfId="0" applyBorder="1" applyAlignment="1">
      <alignment horizontal="right"/>
    </xf>
    <xf numFmtId="0" fontId="10" fillId="0" borderId="55" xfId="0" applyFont="1" applyBorder="1" applyAlignment="1">
      <alignment horizontal="right"/>
    </xf>
    <xf numFmtId="0" fontId="10" fillId="0" borderId="56" xfId="0" applyFont="1" applyBorder="1" applyAlignment="1">
      <alignment horizontal="right"/>
    </xf>
    <xf numFmtId="4" fontId="0" fillId="5" borderId="26" xfId="0" applyNumberFormat="1" applyFill="1" applyBorder="1"/>
    <xf numFmtId="0" fontId="0" fillId="0" borderId="46" xfId="0" applyBorder="1"/>
    <xf numFmtId="0" fontId="1" fillId="0" borderId="22" xfId="0" applyFont="1" applyBorder="1"/>
    <xf numFmtId="0" fontId="10" fillId="0" borderId="29" xfId="0" applyFont="1" applyBorder="1" applyAlignment="1">
      <alignment horizontal="left"/>
    </xf>
    <xf numFmtId="0" fontId="1" fillId="0" borderId="23" xfId="0" applyFont="1" applyBorder="1" applyAlignment="1">
      <alignment vertical="center"/>
    </xf>
    <xf numFmtId="4" fontId="10" fillId="5" borderId="13" xfId="0" applyNumberFormat="1" applyFont="1" applyFill="1" applyBorder="1" applyProtection="1">
      <protection locked="0"/>
    </xf>
    <xf numFmtId="0" fontId="0" fillId="0" borderId="15" xfId="0" applyBorder="1" applyAlignment="1">
      <alignment horizontal="left" vertical="center"/>
    </xf>
    <xf numFmtId="0" fontId="0" fillId="0" borderId="17" xfId="0" applyBorder="1" applyAlignment="1">
      <alignment horizontal="left" vertical="center"/>
    </xf>
    <xf numFmtId="0" fontId="0" fillId="0" borderId="53" xfId="0" applyBorder="1" applyAlignment="1">
      <alignment horizontal="left" vertical="center"/>
    </xf>
    <xf numFmtId="0" fontId="10" fillId="0" borderId="0" xfId="2" applyFont="1" applyAlignment="1">
      <alignment horizontal="center"/>
    </xf>
    <xf numFmtId="0" fontId="0" fillId="0" borderId="0" xfId="0" applyAlignment="1">
      <alignment horizontal="left"/>
    </xf>
    <xf numFmtId="0" fontId="0" fillId="3" borderId="30" xfId="0" applyFill="1" applyBorder="1" applyAlignment="1">
      <alignment horizontal="center"/>
    </xf>
    <xf numFmtId="0" fontId="0" fillId="3" borderId="31" xfId="0" applyFill="1" applyBorder="1" applyAlignment="1">
      <alignment horizontal="center"/>
    </xf>
    <xf numFmtId="0" fontId="0" fillId="3" borderId="34" xfId="0" applyFill="1" applyBorder="1" applyAlignment="1">
      <alignment horizontal="center"/>
    </xf>
    <xf numFmtId="0" fontId="0" fillId="0" borderId="20" xfId="0" applyBorder="1" applyAlignment="1">
      <alignment horizontal="left"/>
    </xf>
    <xf numFmtId="0" fontId="0" fillId="0" borderId="18" xfId="0" applyBorder="1" applyAlignment="1">
      <alignment horizontal="left"/>
    </xf>
    <xf numFmtId="0" fontId="0" fillId="0" borderId="33" xfId="0" applyBorder="1" applyAlignment="1">
      <alignment horizontal="left"/>
    </xf>
    <xf numFmtId="0" fontId="0" fillId="0" borderId="41" xfId="0" applyBorder="1" applyAlignment="1">
      <alignment horizontal="left"/>
    </xf>
    <xf numFmtId="0" fontId="0" fillId="0" borderId="49" xfId="0" applyBorder="1" applyAlignment="1">
      <alignment horizontal="left"/>
    </xf>
    <xf numFmtId="0" fontId="0" fillId="0" borderId="21" xfId="0" applyBorder="1" applyAlignment="1">
      <alignment horizontal="left"/>
    </xf>
    <xf numFmtId="0" fontId="0" fillId="0" borderId="19" xfId="0" applyBorder="1" applyAlignment="1">
      <alignment horizontal="left"/>
    </xf>
    <xf numFmtId="0" fontId="0" fillId="0" borderId="32" xfId="0" applyBorder="1" applyAlignment="1">
      <alignment horizontal="left"/>
    </xf>
    <xf numFmtId="0" fontId="0" fillId="4" borderId="9" xfId="0" applyFill="1" applyBorder="1" applyAlignment="1" applyProtection="1">
      <alignment horizontal="center"/>
      <protection locked="0"/>
    </xf>
    <xf numFmtId="0" fontId="0" fillId="4" borderId="10" xfId="0" applyFill="1" applyBorder="1" applyAlignment="1" applyProtection="1">
      <alignment horizontal="center"/>
      <protection locked="0"/>
    </xf>
    <xf numFmtId="14" fontId="0" fillId="4" borderId="13" xfId="0" applyNumberFormat="1" applyFill="1" applyBorder="1" applyAlignment="1" applyProtection="1">
      <alignment horizontal="center"/>
      <protection locked="0"/>
    </xf>
    <xf numFmtId="0" fontId="0" fillId="4" borderId="13" xfId="0" applyFill="1" applyBorder="1" applyAlignment="1" applyProtection="1">
      <alignment horizontal="center"/>
      <protection locked="0"/>
    </xf>
    <xf numFmtId="0" fontId="0" fillId="4" borderId="14" xfId="0" applyFill="1" applyBorder="1" applyAlignment="1" applyProtection="1">
      <alignment horizontal="center"/>
      <protection locked="0"/>
    </xf>
    <xf numFmtId="0" fontId="12" fillId="0" borderId="30" xfId="0" applyFont="1" applyBorder="1" applyAlignment="1">
      <alignment horizontal="right" vertical="center"/>
    </xf>
    <xf numFmtId="0" fontId="12" fillId="0" borderId="31" xfId="0" applyFont="1" applyBorder="1" applyAlignment="1">
      <alignment horizontal="right" vertical="center"/>
    </xf>
    <xf numFmtId="0" fontId="12" fillId="0" borderId="34" xfId="0" applyFont="1" applyBorder="1" applyAlignment="1">
      <alignment horizontal="right" vertical="center"/>
    </xf>
    <xf numFmtId="0" fontId="17" fillId="0" borderId="0" xfId="0" applyFont="1" applyAlignment="1">
      <alignment horizontal="left"/>
    </xf>
    <xf numFmtId="0" fontId="0" fillId="3" borderId="55" xfId="0" applyFill="1" applyBorder="1" applyAlignment="1">
      <alignment horizontal="left" vertical="center"/>
    </xf>
    <xf numFmtId="0" fontId="0" fillId="3" borderId="56" xfId="0" applyFill="1" applyBorder="1" applyAlignment="1">
      <alignment horizontal="left" vertical="center"/>
    </xf>
    <xf numFmtId="0" fontId="0" fillId="3" borderId="38" xfId="0" applyFill="1" applyBorder="1" applyAlignment="1">
      <alignment horizontal="left" vertical="center"/>
    </xf>
    <xf numFmtId="0" fontId="0" fillId="3" borderId="11" xfId="0" applyFill="1" applyBorder="1" applyAlignment="1">
      <alignment horizontal="left" vertical="center"/>
    </xf>
    <xf numFmtId="0" fontId="12" fillId="3" borderId="15" xfId="2" applyFont="1" applyFill="1" applyBorder="1" applyAlignment="1">
      <alignment horizontal="center" vertical="center"/>
    </xf>
    <xf numFmtId="0" fontId="12" fillId="3" borderId="62" xfId="2" applyFont="1" applyFill="1" applyBorder="1" applyAlignment="1">
      <alignment horizontal="center" vertical="center"/>
    </xf>
    <xf numFmtId="0" fontId="12" fillId="3" borderId="15" xfId="2" applyFont="1" applyFill="1" applyBorder="1" applyAlignment="1">
      <alignment horizontal="center"/>
    </xf>
    <xf numFmtId="0" fontId="12" fillId="3" borderId="62" xfId="2" applyFont="1" applyFill="1" applyBorder="1" applyAlignment="1">
      <alignment horizontal="center"/>
    </xf>
    <xf numFmtId="0" fontId="12" fillId="3" borderId="16" xfId="2" applyFont="1" applyFill="1" applyBorder="1" applyAlignment="1">
      <alignment horizontal="center"/>
    </xf>
    <xf numFmtId="0" fontId="12" fillId="3" borderId="16" xfId="2" applyFont="1" applyFill="1" applyBorder="1" applyAlignment="1">
      <alignment horizontal="center" vertical="center"/>
    </xf>
    <xf numFmtId="0" fontId="18" fillId="3" borderId="31" xfId="2" applyFont="1" applyFill="1" applyBorder="1" applyAlignment="1">
      <alignment horizontal="center"/>
    </xf>
    <xf numFmtId="0" fontId="18" fillId="3" borderId="34" xfId="2" applyFont="1" applyFill="1" applyBorder="1" applyAlignment="1">
      <alignment horizontal="center"/>
    </xf>
    <xf numFmtId="0" fontId="18" fillId="3" borderId="30" xfId="2" applyFont="1" applyFill="1" applyBorder="1" applyAlignment="1">
      <alignment horizontal="center"/>
    </xf>
  </cellXfs>
  <cellStyles count="5">
    <cellStyle name="Hyperlink 2" xfId="3" xr:uid="{00000000-0005-0000-0000-000001000000}"/>
    <cellStyle name="Normal" xfId="0" builtinId="0"/>
    <cellStyle name="Normal 2" xfId="2" xr:uid="{00000000-0005-0000-0000-000003000000}"/>
    <cellStyle name="Percent" xfId="1" builtinId="5"/>
    <cellStyle name="Percent 2" xfId="4" xr:uid="{00000000-0005-0000-0000-000005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123825</xdr:colOff>
      <xdr:row>15</xdr:row>
      <xdr:rowOff>133350</xdr:rowOff>
    </xdr:from>
    <xdr:to>
      <xdr:col>9</xdr:col>
      <xdr:colOff>1114425</xdr:colOff>
      <xdr:row>35</xdr:row>
      <xdr:rowOff>0</xdr:rowOff>
    </xdr:to>
    <xdr:sp macro="" textlink="">
      <xdr:nvSpPr>
        <xdr:cNvPr id="2" name="TextBox 1">
          <a:extLst>
            <a:ext uri="{FF2B5EF4-FFF2-40B4-BE49-F238E27FC236}">
              <a16:creationId xmlns:a16="http://schemas.microsoft.com/office/drawing/2014/main" id="{C0BC5CE3-CAFB-9302-DCD5-AA103CCAA783}"/>
            </a:ext>
          </a:extLst>
        </xdr:cNvPr>
        <xdr:cNvSpPr txBox="1"/>
      </xdr:nvSpPr>
      <xdr:spPr>
        <a:xfrm>
          <a:off x="6707505" y="3219450"/>
          <a:ext cx="5242560" cy="36309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Background</a:t>
          </a:r>
          <a:endParaRPr lang="en-US" sz="1100" b="0"/>
        </a:p>
        <a:p>
          <a:endParaRPr lang="en-US" sz="1100" b="0"/>
        </a:p>
        <a:p>
          <a:r>
            <a:rPr lang="en-US" sz="1100" b="0" baseline="0"/>
            <a:t>The winery fermentation process emits ROC, which is a criteria pollutant and greenhouse gases (GHGs). These fugitive emissions are not calculated in CalEEmod. Winery projects undergoing environmental review should use this tool to calculate the ROC and GHG emissions from the fermentation process. </a:t>
          </a:r>
        </a:p>
        <a:p>
          <a:endParaRPr lang="en-US" sz="1100" b="0" baseline="0"/>
        </a:p>
        <a:p>
          <a:r>
            <a:rPr lang="en-US" sz="1100" b="1" baseline="0"/>
            <a:t>Directions</a:t>
          </a:r>
        </a:p>
        <a:p>
          <a:endParaRPr lang="en-US" sz="1100" b="1" baseline="0"/>
        </a:p>
        <a:p>
          <a:r>
            <a:rPr lang="en-US" sz="1100" b="0" baseline="0"/>
            <a:t>Enter project-specific data in the green boxes. If no project-specific information is available for cells marked with a "*", then please use the given defaults. The ROC emisisions result in Cell H11 should be added to the total daily ROC emissions for the project (lbs/day). The GHG emissions result in Cell H12 should be added to the total annual GHG emissions for the project (MT CO2e/year). </a:t>
          </a:r>
        </a:p>
        <a:p>
          <a:endParaRPr lang="en-US" sz="1100" b="0" baseline="0"/>
        </a:p>
        <a:p>
          <a:r>
            <a:rPr lang="en-US" sz="1100" b="1" baseline="0"/>
            <a:t>Notes</a:t>
          </a:r>
        </a:p>
        <a:p>
          <a:r>
            <a:rPr lang="en-US" sz="1100" b="0" baseline="0"/>
            <a:t>-Wineries that host special events/gatherings should use the APCD's Peak Day Trip Calculator to estimate mobile emissions. </a:t>
          </a:r>
        </a:p>
        <a:p>
          <a:r>
            <a:rPr lang="en-US" sz="1100" b="0" baseline="0"/>
            <a:t>-Wineries that are proposing use of generators or large boilers should model these sources in CalEEMod to estimate pollutant emissions.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O34"/>
  <sheetViews>
    <sheetView tabSelected="1" zoomScaleNormal="100" workbookViewId="0">
      <selection activeCell="D33" sqref="D33"/>
    </sheetView>
  </sheetViews>
  <sheetFormatPr defaultRowHeight="15" x14ac:dyDescent="0.25"/>
  <cols>
    <col min="2" max="2" width="33.7109375" customWidth="1"/>
    <col min="3" max="3" width="14.85546875" customWidth="1"/>
    <col min="4" max="4" width="20.7109375" customWidth="1"/>
    <col min="5" max="5" width="9" customWidth="1"/>
    <col min="7" max="7" width="23.28515625" customWidth="1"/>
    <col min="8" max="8" width="24.5703125" customWidth="1"/>
    <col min="9" max="9" width="14.140625" customWidth="1"/>
    <col min="10" max="10" width="17.85546875" customWidth="1"/>
    <col min="11" max="11" width="16.85546875" customWidth="1"/>
    <col min="12" max="12" width="10.42578125" customWidth="1"/>
    <col min="13" max="13" width="13.28515625" customWidth="1"/>
    <col min="14" max="14" width="22.42578125" customWidth="1"/>
  </cols>
  <sheetData>
    <row r="1" spans="2:15" ht="31.5" x14ac:dyDescent="0.5">
      <c r="B1" s="236" t="s">
        <v>154</v>
      </c>
    </row>
    <row r="2" spans="2:15" x14ac:dyDescent="0.25">
      <c r="B2" t="s">
        <v>155</v>
      </c>
    </row>
    <row r="3" spans="2:15" ht="19.5" thickBot="1" x14ac:dyDescent="0.35">
      <c r="B3" s="135"/>
    </row>
    <row r="4" spans="2:15" ht="15.75" thickBot="1" x14ac:dyDescent="0.3">
      <c r="G4" s="290" t="s">
        <v>69</v>
      </c>
      <c r="H4" s="291"/>
      <c r="I4" s="291"/>
      <c r="J4" s="291"/>
      <c r="K4" s="291"/>
      <c r="L4" s="292"/>
    </row>
    <row r="5" spans="2:15" ht="15.75" thickBot="1" x14ac:dyDescent="0.3">
      <c r="B5" s="222" t="s">
        <v>118</v>
      </c>
      <c r="C5" s="301"/>
      <c r="D5" s="301"/>
      <c r="E5" s="302"/>
      <c r="G5" s="22"/>
      <c r="H5" s="293" t="s">
        <v>70</v>
      </c>
      <c r="I5" s="294"/>
      <c r="J5" s="294"/>
      <c r="K5" s="294"/>
      <c r="L5" s="295"/>
    </row>
    <row r="6" spans="2:15" ht="15.75" thickBot="1" x14ac:dyDescent="0.3">
      <c r="B6" s="111" t="s">
        <v>117</v>
      </c>
      <c r="C6" s="303"/>
      <c r="D6" s="304"/>
      <c r="E6" s="305"/>
      <c r="G6" s="18"/>
      <c r="H6" s="296" t="s">
        <v>124</v>
      </c>
      <c r="I6" s="289"/>
      <c r="J6" s="289"/>
      <c r="K6" s="289"/>
      <c r="L6" s="297"/>
    </row>
    <row r="7" spans="2:15" ht="15.75" thickBot="1" x14ac:dyDescent="0.3">
      <c r="G7" s="143"/>
      <c r="H7" s="298" t="s">
        <v>148</v>
      </c>
      <c r="I7" s="299"/>
      <c r="J7" s="299"/>
      <c r="K7" s="299"/>
      <c r="L7" s="300"/>
    </row>
    <row r="9" spans="2:15" ht="15.75" thickBot="1" x14ac:dyDescent="0.3">
      <c r="B9" s="196" t="s">
        <v>75</v>
      </c>
      <c r="G9" s="196" t="s">
        <v>153</v>
      </c>
      <c r="K9" s="196"/>
    </row>
    <row r="10" spans="2:15" ht="15.75" thickBot="1" x14ac:dyDescent="0.3">
      <c r="B10" s="267"/>
      <c r="C10" s="268" t="s">
        <v>2</v>
      </c>
      <c r="D10" s="23" t="s">
        <v>3</v>
      </c>
      <c r="G10" s="280" t="s">
        <v>149</v>
      </c>
      <c r="H10" s="23" t="s">
        <v>2</v>
      </c>
      <c r="I10" s="270" t="s">
        <v>3</v>
      </c>
      <c r="K10" s="289"/>
      <c r="L10" s="289"/>
      <c r="M10" s="289"/>
      <c r="N10" s="10"/>
    </row>
    <row r="11" spans="2:15" x14ac:dyDescent="0.25">
      <c r="B11" s="285" t="s">
        <v>4</v>
      </c>
      <c r="C11" s="237"/>
      <c r="D11" s="28" t="s">
        <v>6</v>
      </c>
      <c r="G11" s="281" t="s">
        <v>152</v>
      </c>
      <c r="H11" s="279">
        <f>'Wine ROC Emissions'!I11</f>
        <v>0</v>
      </c>
      <c r="I11" s="282" t="s">
        <v>97</v>
      </c>
      <c r="K11" s="289"/>
      <c r="L11" s="289"/>
      <c r="M11" s="289"/>
      <c r="N11" s="10"/>
    </row>
    <row r="12" spans="2:15" ht="15" customHeight="1" thickBot="1" x14ac:dyDescent="0.3">
      <c r="B12" s="286"/>
      <c r="C12" s="35">
        <f>C11*C30</f>
        <v>0</v>
      </c>
      <c r="D12" s="29" t="s">
        <v>5</v>
      </c>
      <c r="G12" s="283" t="s">
        <v>151</v>
      </c>
      <c r="H12" s="284">
        <f>'Fermentation CO2 Emissions '!C15</f>
        <v>0</v>
      </c>
      <c r="I12" s="30" t="s">
        <v>150</v>
      </c>
      <c r="K12" s="289"/>
      <c r="L12" s="289"/>
      <c r="M12" s="289"/>
      <c r="N12" s="10"/>
    </row>
    <row r="13" spans="2:15" ht="15" customHeight="1" x14ac:dyDescent="0.25">
      <c r="B13" s="287" t="s">
        <v>7</v>
      </c>
      <c r="C13" s="238"/>
      <c r="D13" s="29" t="s">
        <v>6</v>
      </c>
      <c r="G13" s="244"/>
      <c r="H13" s="245"/>
      <c r="I13" s="246"/>
    </row>
    <row r="14" spans="2:15" ht="15" customHeight="1" x14ac:dyDescent="0.25">
      <c r="B14" s="286"/>
      <c r="C14" s="35">
        <f>C13*C30</f>
        <v>0</v>
      </c>
      <c r="D14" s="29" t="s">
        <v>5</v>
      </c>
      <c r="G14" s="244"/>
      <c r="H14" s="247"/>
      <c r="I14" s="246"/>
      <c r="K14" s="248"/>
    </row>
    <row r="15" spans="2:15" ht="15" customHeight="1" x14ac:dyDescent="0.25">
      <c r="B15" s="269" t="s">
        <v>8</v>
      </c>
      <c r="C15" s="238"/>
      <c r="D15" s="29" t="s">
        <v>9</v>
      </c>
      <c r="H15" s="245"/>
      <c r="I15" s="246"/>
      <c r="K15" s="249"/>
      <c r="L15" s="249"/>
      <c r="M15" s="249"/>
      <c r="N15" s="288"/>
      <c r="O15" s="288"/>
    </row>
    <row r="16" spans="2:15" ht="15" customHeight="1" x14ac:dyDescent="0.25">
      <c r="B16" s="269" t="s">
        <v>10</v>
      </c>
      <c r="C16" s="238"/>
      <c r="D16" s="29" t="s">
        <v>9</v>
      </c>
      <c r="H16" s="245"/>
      <c r="I16" s="246"/>
      <c r="K16" s="217"/>
      <c r="L16" s="250"/>
      <c r="M16" s="249"/>
      <c r="N16" s="288"/>
      <c r="O16" s="288"/>
    </row>
    <row r="17" spans="1:15" ht="15" customHeight="1" x14ac:dyDescent="0.25">
      <c r="B17" s="269" t="s">
        <v>11</v>
      </c>
      <c r="C17" s="35">
        <f>C12*(C15/100)</f>
        <v>0</v>
      </c>
      <c r="D17" s="29" t="s">
        <v>12</v>
      </c>
      <c r="H17" s="247"/>
      <c r="I17" s="246"/>
      <c r="K17" s="217"/>
      <c r="L17" s="251"/>
      <c r="M17" s="252"/>
      <c r="N17" s="288"/>
      <c r="O17" s="288"/>
    </row>
    <row r="18" spans="1:15" ht="15" customHeight="1" thickBot="1" x14ac:dyDescent="0.3">
      <c r="B18" s="49" t="s">
        <v>13</v>
      </c>
      <c r="C18" s="37">
        <f>C14*(C16/100)</f>
        <v>0</v>
      </c>
      <c r="D18" s="30" t="s">
        <v>12</v>
      </c>
      <c r="H18" s="247"/>
      <c r="I18" s="246"/>
      <c r="K18" s="217"/>
      <c r="L18" s="251"/>
      <c r="M18" s="252"/>
      <c r="N18" s="253"/>
      <c r="O18" s="254"/>
    </row>
    <row r="19" spans="1:15" ht="15" customHeight="1" x14ac:dyDescent="0.25">
      <c r="C19" s="34"/>
      <c r="D19" s="194"/>
      <c r="H19" s="34"/>
      <c r="I19" s="194"/>
      <c r="K19" s="217"/>
      <c r="L19" s="251"/>
      <c r="M19" s="252"/>
      <c r="N19" s="253"/>
      <c r="O19" s="255"/>
    </row>
    <row r="20" spans="1:15" ht="15" customHeight="1" thickBot="1" x14ac:dyDescent="0.3">
      <c r="A20" s="195"/>
      <c r="B20" s="196" t="s">
        <v>76</v>
      </c>
      <c r="C20" s="34"/>
      <c r="D20" s="194"/>
      <c r="E20" s="194"/>
      <c r="F20" s="194"/>
      <c r="G20" s="196"/>
      <c r="H20" s="34"/>
      <c r="I20" s="194"/>
    </row>
    <row r="21" spans="1:15" ht="15" customHeight="1" thickBot="1" x14ac:dyDescent="0.3">
      <c r="A21" s="195"/>
      <c r="B21" s="270"/>
      <c r="C21" s="271" t="s">
        <v>2</v>
      </c>
      <c r="D21" s="272" t="s">
        <v>3</v>
      </c>
      <c r="E21" s="10"/>
      <c r="H21" s="34"/>
      <c r="I21" s="194"/>
      <c r="K21" s="256"/>
      <c r="L21" s="57"/>
      <c r="M21" s="57"/>
      <c r="N21" s="57"/>
    </row>
    <row r="22" spans="1:15" ht="15" customHeight="1" x14ac:dyDescent="0.25">
      <c r="A22" s="195"/>
      <c r="B22" s="273" t="s">
        <v>14</v>
      </c>
      <c r="C22" s="38">
        <f>C12*C31</f>
        <v>0</v>
      </c>
      <c r="D22" s="39" t="s">
        <v>12</v>
      </c>
      <c r="E22" s="10"/>
      <c r="G22" s="36"/>
      <c r="H22" s="247"/>
      <c r="I22" s="36"/>
      <c r="K22" s="249"/>
      <c r="L22" s="249"/>
      <c r="M22" s="249"/>
      <c r="N22" s="249"/>
    </row>
    <row r="23" spans="1:15" ht="15" customHeight="1" x14ac:dyDescent="0.25">
      <c r="A23" s="195"/>
      <c r="B23" s="274" t="s">
        <v>15</v>
      </c>
      <c r="C23" s="40">
        <f>C14*C32</f>
        <v>0</v>
      </c>
      <c r="D23" s="31" t="s">
        <v>12</v>
      </c>
      <c r="E23" s="243"/>
      <c r="G23" s="36"/>
      <c r="H23" s="247"/>
      <c r="I23" s="36"/>
      <c r="K23" s="57"/>
      <c r="L23" s="257"/>
      <c r="M23" s="249"/>
      <c r="N23" s="57"/>
    </row>
    <row r="24" spans="1:15" ht="15" customHeight="1" x14ac:dyDescent="0.25">
      <c r="B24" s="274" t="s">
        <v>78</v>
      </c>
      <c r="C24" s="239">
        <v>7</v>
      </c>
      <c r="D24" s="31" t="s">
        <v>16</v>
      </c>
      <c r="E24" s="244"/>
      <c r="G24" s="36"/>
      <c r="H24" s="245"/>
      <c r="I24" s="36"/>
      <c r="K24" s="57"/>
      <c r="L24" s="257"/>
      <c r="M24" s="249"/>
      <c r="N24" s="57"/>
    </row>
    <row r="25" spans="1:15" ht="15" customHeight="1" x14ac:dyDescent="0.25">
      <c r="B25" s="274" t="s">
        <v>79</v>
      </c>
      <c r="C25" s="239">
        <v>15</v>
      </c>
      <c r="D25" s="31" t="s">
        <v>16</v>
      </c>
      <c r="G25" s="36"/>
      <c r="H25" s="245"/>
      <c r="I25" s="36"/>
      <c r="K25" s="57"/>
      <c r="L25" s="258"/>
      <c r="M25" s="107"/>
      <c r="N25" s="57"/>
    </row>
    <row r="26" spans="1:15" ht="15" customHeight="1" x14ac:dyDescent="0.25">
      <c r="B26" s="274" t="s">
        <v>17</v>
      </c>
      <c r="C26" s="40">
        <f>C12*C33</f>
        <v>0</v>
      </c>
      <c r="D26" s="31" t="s">
        <v>12</v>
      </c>
      <c r="G26" s="36"/>
      <c r="H26" s="247"/>
      <c r="I26" s="36"/>
      <c r="K26" s="57"/>
      <c r="L26" s="195"/>
      <c r="M26" s="107"/>
      <c r="N26" s="57"/>
    </row>
    <row r="27" spans="1:15" ht="15" customHeight="1" thickBot="1" x14ac:dyDescent="0.3">
      <c r="B27" s="275" t="s">
        <v>18</v>
      </c>
      <c r="C27" s="41">
        <f>C14*C34</f>
        <v>0</v>
      </c>
      <c r="D27" s="32" t="s">
        <v>12</v>
      </c>
      <c r="G27" s="36"/>
      <c r="H27" s="247"/>
      <c r="I27" s="36"/>
    </row>
    <row r="28" spans="1:15" x14ac:dyDescent="0.25">
      <c r="K28" s="57"/>
    </row>
    <row r="29" spans="1:15" ht="15.75" thickBot="1" x14ac:dyDescent="0.3">
      <c r="B29" s="196" t="s">
        <v>77</v>
      </c>
      <c r="G29" s="196"/>
    </row>
    <row r="30" spans="1:15" x14ac:dyDescent="0.25">
      <c r="B30" s="276" t="s">
        <v>19</v>
      </c>
      <c r="C30" s="42">
        <f>12*0.75/3.785412</f>
        <v>2.3775483355576621</v>
      </c>
      <c r="D30" s="194"/>
      <c r="G30" s="195"/>
      <c r="H30" s="259"/>
      <c r="I30" s="194"/>
    </row>
    <row r="31" spans="1:15" x14ac:dyDescent="0.25">
      <c r="B31" s="277" t="s">
        <v>80</v>
      </c>
      <c r="C31" s="197">
        <v>0.3</v>
      </c>
      <c r="D31" s="36"/>
      <c r="G31" s="260"/>
      <c r="H31" s="261"/>
      <c r="I31" s="36"/>
    </row>
    <row r="32" spans="1:15" x14ac:dyDescent="0.25">
      <c r="B32" s="277" t="s">
        <v>81</v>
      </c>
      <c r="C32" s="197">
        <v>0.3</v>
      </c>
      <c r="D32" s="36"/>
      <c r="G32" s="260"/>
      <c r="H32" s="261"/>
      <c r="I32" s="36"/>
    </row>
    <row r="33" spans="2:9" x14ac:dyDescent="0.25">
      <c r="B33" s="277" t="s">
        <v>82</v>
      </c>
      <c r="C33" s="197">
        <v>0.4</v>
      </c>
      <c r="D33" s="36"/>
      <c r="G33" s="260"/>
      <c r="H33" s="261"/>
      <c r="I33" s="36"/>
    </row>
    <row r="34" spans="2:9" ht="15.75" thickBot="1" x14ac:dyDescent="0.3">
      <c r="B34" s="278" t="s">
        <v>83</v>
      </c>
      <c r="C34" s="198">
        <v>0.25</v>
      </c>
      <c r="D34" s="36"/>
      <c r="G34" s="260"/>
      <c r="H34" s="261"/>
      <c r="I34" s="36"/>
    </row>
  </sheetData>
  <mergeCells count="14">
    <mergeCell ref="G4:L4"/>
    <mergeCell ref="H5:L5"/>
    <mergeCell ref="H6:L6"/>
    <mergeCell ref="H7:L7"/>
    <mergeCell ref="C5:E5"/>
    <mergeCell ref="C6:E6"/>
    <mergeCell ref="B11:B12"/>
    <mergeCell ref="B13:B14"/>
    <mergeCell ref="N15:O15"/>
    <mergeCell ref="N17:O17"/>
    <mergeCell ref="K10:M10"/>
    <mergeCell ref="K11:M11"/>
    <mergeCell ref="K12:M12"/>
    <mergeCell ref="N16:O16"/>
  </mergeCells>
  <dataValidations count="3">
    <dataValidation type="list" allowBlank="1" showInputMessage="1" showErrorMessage="1" sqref="E21:E23 N12 N10" xr:uid="{00000000-0002-0000-0000-000000000000}">
      <formula1>YesNo</formula1>
    </dataValidation>
    <dataValidation type="decimal" operator="lessThan" allowBlank="1" showInputMessage="1" showErrorMessage="1" sqref="L23" xr:uid="{00000000-0002-0000-0000-000001000000}">
      <formula1>751</formula1>
    </dataValidation>
    <dataValidation type="whole" allowBlank="1" showInputMessage="1" showErrorMessage="1" sqref="L24" xr:uid="{00000000-0002-0000-0000-000002000000}">
      <formula1>2</formula1>
      <formula2>4</formula2>
    </dataValidation>
  </dataValidations>
  <pageMargins left="0.7" right="0.7" top="0.75" bottom="0.75" header="0.3" footer="0.3"/>
  <pageSetup orientation="portrait" r:id="rId1"/>
  <ignoredErrors>
    <ignoredError sqref="H12"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'Conversions and EF'!$B$95:$B$96</xm:f>
          </x14:formula1>
          <xm:sqref>N11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sheetPr>
  <dimension ref="B2:J31"/>
  <sheetViews>
    <sheetView zoomScaleNormal="100" workbookViewId="0">
      <selection activeCell="I37" sqref="I37"/>
    </sheetView>
  </sheetViews>
  <sheetFormatPr defaultRowHeight="15" x14ac:dyDescent="0.25"/>
  <cols>
    <col min="2" max="2" width="17.140625" customWidth="1"/>
    <col min="3" max="3" width="12.42578125" customWidth="1"/>
    <col min="4" max="4" width="9.85546875" customWidth="1"/>
    <col min="5" max="5" width="11.28515625" customWidth="1"/>
    <col min="8" max="8" width="15.85546875" customWidth="1"/>
    <col min="11" max="11" width="8.7109375" customWidth="1"/>
    <col min="14" max="14" width="11.42578125" customWidth="1"/>
    <col min="15" max="15" width="25.5703125" customWidth="1"/>
    <col min="17" max="17" width="21" customWidth="1"/>
    <col min="18" max="18" width="15.7109375" customWidth="1"/>
  </cols>
  <sheetData>
    <row r="2" spans="2:10" ht="18.75" x14ac:dyDescent="0.3">
      <c r="B2" s="135" t="s">
        <v>85</v>
      </c>
    </row>
    <row r="3" spans="2:10" x14ac:dyDescent="0.25">
      <c r="B3" s="55"/>
      <c r="C3" s="51"/>
    </row>
    <row r="4" spans="2:10" ht="15.75" thickBot="1" x14ac:dyDescent="0.3">
      <c r="B4" s="54" t="s">
        <v>58</v>
      </c>
    </row>
    <row r="5" spans="2:10" x14ac:dyDescent="0.25">
      <c r="B5" s="112"/>
      <c r="C5" s="116" t="s">
        <v>20</v>
      </c>
      <c r="D5" s="115" t="s">
        <v>21</v>
      </c>
      <c r="E5" s="117"/>
      <c r="F5" s="116" t="s">
        <v>20</v>
      </c>
      <c r="G5" s="115" t="s">
        <v>21</v>
      </c>
      <c r="H5" s="117"/>
      <c r="I5" s="114" t="s">
        <v>20</v>
      </c>
      <c r="J5" s="118" t="s">
        <v>21</v>
      </c>
    </row>
    <row r="6" spans="2:10" ht="15.75" thickBot="1" x14ac:dyDescent="0.3">
      <c r="B6" s="113" t="s">
        <v>50</v>
      </c>
      <c r="C6" s="121" t="s">
        <v>51</v>
      </c>
      <c r="D6" s="120" t="s">
        <v>51</v>
      </c>
      <c r="E6" s="122" t="s">
        <v>52</v>
      </c>
      <c r="F6" s="121" t="s">
        <v>53</v>
      </c>
      <c r="G6" s="120" t="s">
        <v>53</v>
      </c>
      <c r="H6" s="122" t="s">
        <v>52</v>
      </c>
      <c r="I6" s="119" t="s">
        <v>54</v>
      </c>
      <c r="J6" s="122" t="s">
        <v>54</v>
      </c>
    </row>
    <row r="7" spans="2:10" x14ac:dyDescent="0.25">
      <c r="B7" s="19" t="s">
        <v>23</v>
      </c>
      <c r="C7" s="242">
        <f>Calculator!C22</f>
        <v>0</v>
      </c>
      <c r="D7" s="123">
        <f>Calculator!C23</f>
        <v>0</v>
      </c>
      <c r="E7" s="52" t="s">
        <v>55</v>
      </c>
      <c r="F7" s="125">
        <f>'Conversions and EF'!C16</f>
        <v>6.2</v>
      </c>
      <c r="G7" s="126">
        <f>'Conversions and EF'!D16</f>
        <v>2.5</v>
      </c>
      <c r="H7" s="52" t="s">
        <v>24</v>
      </c>
      <c r="I7" s="127">
        <f>((F7/1000)*C7)/Calculator!C24</f>
        <v>0</v>
      </c>
      <c r="J7" s="128">
        <f>((G7/1000)*D7)/Calculator!C25</f>
        <v>0</v>
      </c>
    </row>
    <row r="8" spans="2:10" ht="15.75" thickBot="1" x14ac:dyDescent="0.3">
      <c r="B8" s="21" t="s">
        <v>26</v>
      </c>
      <c r="C8" s="37">
        <f>Calculator!C26</f>
        <v>0</v>
      </c>
      <c r="D8" s="124">
        <f>Calculator!C27</f>
        <v>0</v>
      </c>
      <c r="E8" s="53" t="s">
        <v>56</v>
      </c>
      <c r="F8" s="240">
        <f>'Conversions and EF'!C17/365</f>
        <v>7.6241328555781543E-2</v>
      </c>
      <c r="G8" s="241">
        <f>'Conversions and EF'!D17/365</f>
        <v>7.0769854502827606E-2</v>
      </c>
      <c r="H8" s="53" t="s">
        <v>57</v>
      </c>
      <c r="I8" s="129">
        <f>(F8/1000)*C8</f>
        <v>0</v>
      </c>
      <c r="J8" s="130">
        <f>(G8/1000)*D8</f>
        <v>0</v>
      </c>
    </row>
    <row r="9" spans="2:10" ht="15.75" thickBot="1" x14ac:dyDescent="0.3">
      <c r="H9" s="262" t="s">
        <v>119</v>
      </c>
      <c r="I9" s="131">
        <f>SUM(I7:I8)</f>
        <v>0</v>
      </c>
      <c r="J9" s="132">
        <f>SUM(J7:J8)</f>
        <v>0</v>
      </c>
    </row>
    <row r="10" spans="2:10" ht="15.75" thickBot="1" x14ac:dyDescent="0.3"/>
    <row r="11" spans="2:10" ht="15.75" thickBot="1" x14ac:dyDescent="0.3">
      <c r="F11" s="306" t="s">
        <v>86</v>
      </c>
      <c r="G11" s="307"/>
      <c r="H11" s="308"/>
      <c r="I11" s="144">
        <f>SUM(I9:J9)</f>
        <v>0</v>
      </c>
      <c r="J11" s="50" t="s">
        <v>54</v>
      </c>
    </row>
    <row r="12" spans="2:10" x14ac:dyDescent="0.25">
      <c r="F12" s="140"/>
      <c r="G12" s="140"/>
      <c r="H12" s="140"/>
      <c r="I12" s="142"/>
      <c r="J12" s="141"/>
    </row>
    <row r="15" spans="2:10" x14ac:dyDescent="0.25">
      <c r="B15" s="54"/>
    </row>
    <row r="16" spans="2:10" x14ac:dyDescent="0.25">
      <c r="B16" s="54"/>
      <c r="C16" s="263"/>
      <c r="D16" s="263"/>
      <c r="F16" s="263"/>
      <c r="G16" s="263"/>
      <c r="I16" s="263"/>
      <c r="J16" s="263"/>
    </row>
    <row r="17" spans="2:10" x14ac:dyDescent="0.25">
      <c r="B17" s="54"/>
      <c r="C17" s="263"/>
      <c r="D17" s="263"/>
      <c r="E17" s="263"/>
      <c r="F17" s="263"/>
      <c r="G17" s="263"/>
      <c r="H17" s="263"/>
      <c r="I17" s="263"/>
      <c r="J17" s="263"/>
    </row>
    <row r="18" spans="2:10" x14ac:dyDescent="0.25">
      <c r="C18" s="247"/>
      <c r="D18" s="247"/>
      <c r="E18" s="264"/>
      <c r="F18" s="265"/>
      <c r="G18" s="265"/>
      <c r="H18" s="264"/>
      <c r="I18" s="247"/>
      <c r="J18" s="247"/>
    </row>
    <row r="19" spans="2:10" x14ac:dyDescent="0.25">
      <c r="C19" s="247"/>
      <c r="D19" s="247"/>
      <c r="E19" s="264"/>
      <c r="F19" s="265"/>
      <c r="G19" s="265"/>
      <c r="H19" s="264"/>
      <c r="I19" s="247"/>
      <c r="J19" s="247"/>
    </row>
    <row r="20" spans="2:10" x14ac:dyDescent="0.25">
      <c r="F20" s="36"/>
      <c r="G20" s="36"/>
      <c r="H20" s="36"/>
      <c r="I20" s="247"/>
      <c r="J20" s="247"/>
    </row>
    <row r="21" spans="2:10" x14ac:dyDescent="0.25">
      <c r="F21" s="36"/>
      <c r="G21" s="36"/>
      <c r="H21" s="36"/>
      <c r="I21" s="36"/>
      <c r="J21" s="36"/>
    </row>
    <row r="22" spans="2:10" x14ac:dyDescent="0.25">
      <c r="H22" s="266"/>
      <c r="I22" s="247"/>
    </row>
    <row r="23" spans="2:10" x14ac:dyDescent="0.25">
      <c r="I23" s="219"/>
    </row>
    <row r="24" spans="2:10" x14ac:dyDescent="0.25">
      <c r="I24" s="219"/>
    </row>
    <row r="25" spans="2:10" x14ac:dyDescent="0.25">
      <c r="B25" s="3"/>
      <c r="E25" s="289"/>
      <c r="F25" s="289"/>
      <c r="G25" s="289"/>
      <c r="H25" s="289"/>
      <c r="I25" s="107"/>
    </row>
    <row r="26" spans="2:10" x14ac:dyDescent="0.25">
      <c r="B26" s="4"/>
    </row>
    <row r="27" spans="2:10" x14ac:dyDescent="0.25">
      <c r="B27" s="9"/>
    </row>
    <row r="28" spans="2:10" x14ac:dyDescent="0.25">
      <c r="B28" s="10"/>
    </row>
    <row r="29" spans="2:10" x14ac:dyDescent="0.25">
      <c r="B29" s="10"/>
    </row>
    <row r="30" spans="2:10" x14ac:dyDescent="0.25">
      <c r="B30" s="10"/>
    </row>
    <row r="31" spans="2:10" x14ac:dyDescent="0.25">
      <c r="B31" s="7"/>
    </row>
  </sheetData>
  <mergeCells count="2">
    <mergeCell ref="E25:H25"/>
    <mergeCell ref="F11:H1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59999389629810485"/>
  </sheetPr>
  <dimension ref="B2:D26"/>
  <sheetViews>
    <sheetView workbookViewId="0">
      <selection activeCell="C25" sqref="C25"/>
    </sheetView>
  </sheetViews>
  <sheetFormatPr defaultRowHeight="15" x14ac:dyDescent="0.25"/>
  <cols>
    <col min="2" max="2" width="23" customWidth="1"/>
    <col min="3" max="3" width="12.42578125" customWidth="1"/>
    <col min="4" max="4" width="28.28515625" customWidth="1"/>
    <col min="13" max="13" width="11.42578125" customWidth="1"/>
    <col min="14" max="14" width="25.5703125" customWidth="1"/>
    <col min="16" max="16" width="21" customWidth="1"/>
    <col min="17" max="17" width="15.7109375" customWidth="1"/>
  </cols>
  <sheetData>
    <row r="2" spans="2:4" ht="18.75" x14ac:dyDescent="0.3">
      <c r="B2" s="309" t="s">
        <v>64</v>
      </c>
      <c r="C2" s="309"/>
      <c r="D2" s="309"/>
    </row>
    <row r="3" spans="2:4" ht="15.75" thickBot="1" x14ac:dyDescent="0.3"/>
    <row r="4" spans="2:4" ht="15.75" thickBot="1" x14ac:dyDescent="0.3">
      <c r="B4" s="43" t="s">
        <v>84</v>
      </c>
      <c r="C4" s="45" t="s">
        <v>2</v>
      </c>
      <c r="D4" s="46" t="s">
        <v>3</v>
      </c>
    </row>
    <row r="5" spans="2:4" x14ac:dyDescent="0.25">
      <c r="B5" s="26" t="s">
        <v>59</v>
      </c>
      <c r="C5" s="47">
        <f>6303*'Conversions and EF'!C27</f>
        <v>882.42000000000007</v>
      </c>
      <c r="D5" s="44" t="s">
        <v>73</v>
      </c>
    </row>
    <row r="6" spans="2:4" ht="15.75" thickBot="1" x14ac:dyDescent="0.3">
      <c r="B6" s="21" t="s">
        <v>60</v>
      </c>
      <c r="C6" s="48">
        <f>6303*'Conversions and EF'!C28</f>
        <v>819.39</v>
      </c>
      <c r="D6" s="13" t="s">
        <v>74</v>
      </c>
    </row>
    <row r="8" spans="2:4" ht="15.75" thickBot="1" x14ac:dyDescent="0.3"/>
    <row r="9" spans="2:4" ht="15.75" thickBot="1" x14ac:dyDescent="0.3">
      <c r="B9" s="75" t="s">
        <v>4</v>
      </c>
      <c r="C9" s="221">
        <f>Calculator!C12</f>
        <v>0</v>
      </c>
      <c r="D9" s="11" t="s">
        <v>62</v>
      </c>
    </row>
    <row r="10" spans="2:4" x14ac:dyDescent="0.25">
      <c r="B10" s="310" t="s">
        <v>61</v>
      </c>
      <c r="C10" s="221">
        <f>C9/1000*'Conversions and EF'!C20</f>
        <v>0</v>
      </c>
      <c r="D10" s="44" t="s">
        <v>63</v>
      </c>
    </row>
    <row r="11" spans="2:4" ht="15.75" thickBot="1" x14ac:dyDescent="0.3">
      <c r="B11" s="311"/>
      <c r="C11" s="14">
        <f>C10/'Conversions and EF'!$D$8</f>
        <v>0</v>
      </c>
      <c r="D11" s="13" t="s">
        <v>121</v>
      </c>
    </row>
    <row r="12" spans="2:4" ht="15.75" thickBot="1" x14ac:dyDescent="0.3">
      <c r="B12" s="74" t="s">
        <v>7</v>
      </c>
      <c r="C12" s="221">
        <f>Calculator!C14</f>
        <v>0</v>
      </c>
      <c r="D12" s="11" t="s">
        <v>62</v>
      </c>
    </row>
    <row r="13" spans="2:4" x14ac:dyDescent="0.25">
      <c r="B13" s="312" t="s">
        <v>65</v>
      </c>
      <c r="C13" s="221">
        <f>C12/1000*'Conversions and EF'!C21</f>
        <v>0</v>
      </c>
      <c r="D13" s="12" t="s">
        <v>63</v>
      </c>
    </row>
    <row r="14" spans="2:4" ht="15.75" thickBot="1" x14ac:dyDescent="0.3">
      <c r="B14" s="313"/>
      <c r="C14" s="14">
        <f>C13/'Conversions and EF'!$D$8</f>
        <v>0</v>
      </c>
      <c r="D14" s="13" t="s">
        <v>121</v>
      </c>
    </row>
    <row r="15" spans="2:4" ht="15.75" thickBot="1" x14ac:dyDescent="0.3">
      <c r="B15" s="73" t="s">
        <v>115</v>
      </c>
      <c r="C15" s="220">
        <f>C11+C14</f>
        <v>0</v>
      </c>
      <c r="D15" s="72" t="s">
        <v>121</v>
      </c>
    </row>
    <row r="23" spans="2:2" x14ac:dyDescent="0.25">
      <c r="B23" s="3"/>
    </row>
    <row r="24" spans="2:2" x14ac:dyDescent="0.25">
      <c r="B24" s="4"/>
    </row>
    <row r="25" spans="2:2" x14ac:dyDescent="0.25">
      <c r="B25" s="5"/>
    </row>
    <row r="26" spans="2:2" x14ac:dyDescent="0.25">
      <c r="B26" s="6"/>
    </row>
  </sheetData>
  <mergeCells count="3">
    <mergeCell ref="B2:D2"/>
    <mergeCell ref="B10:B11"/>
    <mergeCell ref="B13:B1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Q96"/>
  <sheetViews>
    <sheetView zoomScaleNormal="100" workbookViewId="0">
      <selection activeCell="G33" sqref="G33"/>
    </sheetView>
  </sheetViews>
  <sheetFormatPr defaultRowHeight="15" x14ac:dyDescent="0.25"/>
  <cols>
    <col min="1" max="1" width="3.140625" customWidth="1"/>
    <col min="2" max="2" width="20.140625" customWidth="1"/>
    <col min="3" max="3" width="14.7109375" customWidth="1"/>
    <col min="4" max="4" width="26.42578125" customWidth="1"/>
    <col min="5" max="5" width="18.28515625" customWidth="1"/>
    <col min="6" max="6" width="16.28515625" customWidth="1"/>
    <col min="7" max="7" width="22" customWidth="1"/>
    <col min="8" max="8" width="14.5703125" customWidth="1"/>
    <col min="9" max="9" width="12.140625" customWidth="1"/>
    <col min="14" max="14" width="13.7109375" customWidth="1"/>
    <col min="15" max="15" width="19.7109375" customWidth="1"/>
    <col min="16" max="16" width="9.42578125" customWidth="1"/>
    <col min="18" max="18" width="9.5703125" bestFit="1" customWidth="1"/>
    <col min="19" max="19" width="10.5703125" bestFit="1" customWidth="1"/>
  </cols>
  <sheetData>
    <row r="2" spans="2:8" ht="18.75" x14ac:dyDescent="0.3">
      <c r="B2" s="135" t="s">
        <v>126</v>
      </c>
    </row>
    <row r="4" spans="2:8" ht="15.75" thickBot="1" x14ac:dyDescent="0.3">
      <c r="B4" s="1" t="s">
        <v>111</v>
      </c>
    </row>
    <row r="5" spans="2:8" ht="15.75" thickBot="1" x14ac:dyDescent="0.3">
      <c r="B5" s="108" t="s">
        <v>2</v>
      </c>
      <c r="C5" s="109" t="s">
        <v>3</v>
      </c>
      <c r="D5" s="109" t="s">
        <v>2</v>
      </c>
      <c r="E5" s="110" t="s">
        <v>3</v>
      </c>
    </row>
    <row r="6" spans="2:8" ht="15.75" thickBot="1" x14ac:dyDescent="0.3">
      <c r="B6" s="71">
        <v>1</v>
      </c>
      <c r="C6" s="80" t="s">
        <v>112</v>
      </c>
      <c r="D6" s="80">
        <v>365</v>
      </c>
      <c r="E6" s="81" t="s">
        <v>16</v>
      </c>
      <c r="G6" s="1" t="s">
        <v>145</v>
      </c>
    </row>
    <row r="7" spans="2:8" x14ac:dyDescent="0.25">
      <c r="B7" s="85">
        <v>1</v>
      </c>
      <c r="C7" s="76" t="s">
        <v>113</v>
      </c>
      <c r="D7" s="76">
        <v>24</v>
      </c>
      <c r="E7" s="15" t="s">
        <v>114</v>
      </c>
      <c r="G7" s="26" t="s">
        <v>68</v>
      </c>
      <c r="H7" s="218" t="s">
        <v>1</v>
      </c>
    </row>
    <row r="8" spans="2:8" x14ac:dyDescent="0.25">
      <c r="B8" s="85">
        <v>1</v>
      </c>
      <c r="C8" s="76" t="s">
        <v>109</v>
      </c>
      <c r="D8" s="76">
        <v>2204.62</v>
      </c>
      <c r="E8" s="15" t="s">
        <v>110</v>
      </c>
      <c r="G8" s="20" t="s">
        <v>67</v>
      </c>
      <c r="H8" s="24">
        <f>52*2</f>
        <v>104</v>
      </c>
    </row>
    <row r="9" spans="2:8" x14ac:dyDescent="0.25">
      <c r="B9" s="85">
        <v>1</v>
      </c>
      <c r="C9" s="76" t="s">
        <v>109</v>
      </c>
      <c r="D9" s="76">
        <v>1000000</v>
      </c>
      <c r="E9" s="15" t="s">
        <v>116</v>
      </c>
      <c r="G9" s="20" t="s">
        <v>66</v>
      </c>
      <c r="H9" s="24">
        <f>365-H8</f>
        <v>261</v>
      </c>
    </row>
    <row r="10" spans="2:8" ht="15.75" thickBot="1" x14ac:dyDescent="0.3">
      <c r="B10" s="85">
        <v>1</v>
      </c>
      <c r="C10" s="76" t="s">
        <v>143</v>
      </c>
      <c r="D10" s="76">
        <v>1000000</v>
      </c>
      <c r="E10" s="15" t="s">
        <v>142</v>
      </c>
      <c r="G10" s="21" t="s">
        <v>72</v>
      </c>
      <c r="H10" s="25">
        <f>H8+H9</f>
        <v>365</v>
      </c>
    </row>
    <row r="11" spans="2:8" x14ac:dyDescent="0.25">
      <c r="B11" s="85">
        <v>1</v>
      </c>
      <c r="C11" s="76" t="s">
        <v>125</v>
      </c>
      <c r="D11" s="76">
        <v>2000</v>
      </c>
      <c r="E11" s="15" t="s">
        <v>110</v>
      </c>
    </row>
    <row r="12" spans="2:8" ht="15.75" thickBot="1" x14ac:dyDescent="0.3">
      <c r="B12" s="111">
        <v>1</v>
      </c>
      <c r="C12" s="82" t="s">
        <v>71</v>
      </c>
      <c r="D12" s="82">
        <v>1000</v>
      </c>
      <c r="E12" s="8" t="s">
        <v>0</v>
      </c>
    </row>
    <row r="14" spans="2:8" ht="15.75" thickBot="1" x14ac:dyDescent="0.3">
      <c r="B14" s="1" t="s">
        <v>122</v>
      </c>
    </row>
    <row r="15" spans="2:8" ht="15.75" thickBot="1" x14ac:dyDescent="0.3">
      <c r="B15" s="27" t="s">
        <v>50</v>
      </c>
      <c r="C15" s="94" t="s">
        <v>20</v>
      </c>
      <c r="D15" s="95" t="s">
        <v>21</v>
      </c>
      <c r="E15" s="96" t="s">
        <v>3</v>
      </c>
      <c r="F15" s="97" t="s">
        <v>22</v>
      </c>
    </row>
    <row r="16" spans="2:8" x14ac:dyDescent="0.25">
      <c r="B16" s="77" t="s">
        <v>23</v>
      </c>
      <c r="C16" s="78">
        <v>6.2</v>
      </c>
      <c r="D16" s="79">
        <v>2.5</v>
      </c>
      <c r="E16" s="80" t="s">
        <v>24</v>
      </c>
      <c r="F16" s="81" t="s">
        <v>25</v>
      </c>
    </row>
    <row r="17" spans="2:6" ht="15.75" thickBot="1" x14ac:dyDescent="0.3">
      <c r="B17" s="49" t="s">
        <v>26</v>
      </c>
      <c r="C17" s="133">
        <f>(C33)*(C31)*(C29)*1000</f>
        <v>27.828084922860263</v>
      </c>
      <c r="D17" s="134">
        <f>(C33)*(C32)*(C30)*1000</f>
        <v>25.830996893532074</v>
      </c>
      <c r="E17" s="82" t="s">
        <v>27</v>
      </c>
      <c r="F17" s="8" t="s">
        <v>28</v>
      </c>
    </row>
    <row r="18" spans="2:6" ht="15.75" thickBot="1" x14ac:dyDescent="0.3">
      <c r="C18" s="235"/>
      <c r="D18" s="235"/>
    </row>
    <row r="19" spans="2:6" ht="15.75" thickBot="1" x14ac:dyDescent="0.3">
      <c r="B19" s="43" t="s">
        <v>84</v>
      </c>
      <c r="C19" s="45" t="s">
        <v>2</v>
      </c>
      <c r="D19" s="46" t="s">
        <v>3</v>
      </c>
    </row>
    <row r="20" spans="2:6" x14ac:dyDescent="0.25">
      <c r="B20" s="26" t="s">
        <v>59</v>
      </c>
      <c r="C20" s="47">
        <f>6303*'Conversions and EF'!C27</f>
        <v>882.42000000000007</v>
      </c>
      <c r="D20" s="44" t="s">
        <v>73</v>
      </c>
    </row>
    <row r="21" spans="2:6" ht="15.75" thickBot="1" x14ac:dyDescent="0.3">
      <c r="B21" s="21" t="s">
        <v>60</v>
      </c>
      <c r="C21" s="48">
        <f>6303*'Conversions and EF'!C28</f>
        <v>819.39</v>
      </c>
      <c r="D21" s="13" t="s">
        <v>74</v>
      </c>
    </row>
    <row r="22" spans="2:6" ht="15.75" thickBot="1" x14ac:dyDescent="0.3"/>
    <row r="23" spans="2:6" x14ac:dyDescent="0.25">
      <c r="B23" s="136"/>
      <c r="C23" s="137" t="s">
        <v>2</v>
      </c>
      <c r="D23" s="138" t="s">
        <v>3</v>
      </c>
      <c r="E23" s="139" t="s">
        <v>120</v>
      </c>
    </row>
    <row r="24" spans="2:6" x14ac:dyDescent="0.25">
      <c r="B24" s="105" t="s">
        <v>32</v>
      </c>
      <c r="C24" s="100">
        <v>0.79</v>
      </c>
      <c r="D24" s="98"/>
      <c r="E24" s="31" t="s">
        <v>33</v>
      </c>
    </row>
    <row r="25" spans="2:6" x14ac:dyDescent="0.25">
      <c r="B25" s="105" t="s">
        <v>34</v>
      </c>
      <c r="C25" s="100">
        <v>8.34</v>
      </c>
      <c r="D25" s="98" t="s">
        <v>35</v>
      </c>
      <c r="E25" s="31" t="s">
        <v>36</v>
      </c>
    </row>
    <row r="26" spans="2:6" x14ac:dyDescent="0.25">
      <c r="B26" s="105" t="s">
        <v>37</v>
      </c>
      <c r="C26" s="101">
        <f>C24*C25</f>
        <v>6.5886000000000005</v>
      </c>
      <c r="D26" s="98" t="s">
        <v>35</v>
      </c>
      <c r="E26" s="31" t="s">
        <v>38</v>
      </c>
    </row>
    <row r="27" spans="2:6" x14ac:dyDescent="0.25">
      <c r="B27" s="105" t="s">
        <v>39</v>
      </c>
      <c r="C27" s="102">
        <v>0.14000000000000001</v>
      </c>
      <c r="D27" s="98" t="s">
        <v>40</v>
      </c>
      <c r="E27" s="31" t="s">
        <v>41</v>
      </c>
    </row>
    <row r="28" spans="2:6" x14ac:dyDescent="0.25">
      <c r="B28" s="105" t="s">
        <v>42</v>
      </c>
      <c r="C28" s="102">
        <v>0.13</v>
      </c>
      <c r="D28" s="98" t="s">
        <v>40</v>
      </c>
      <c r="E28" s="31" t="s">
        <v>41</v>
      </c>
    </row>
    <row r="29" spans="2:6" x14ac:dyDescent="0.25">
      <c r="B29" s="105" t="s">
        <v>43</v>
      </c>
      <c r="C29" s="103">
        <f>(C27*$C$26)/((C27*$C$26)+(1-C27)*C25)</f>
        <v>0.11395013393777047</v>
      </c>
      <c r="D29" s="98" t="s">
        <v>44</v>
      </c>
      <c r="E29" s="31" t="s">
        <v>38</v>
      </c>
    </row>
    <row r="30" spans="2:6" x14ac:dyDescent="0.25">
      <c r="B30" s="105" t="s">
        <v>45</v>
      </c>
      <c r="C30" s="103">
        <f>(C28*$C$26)/((C28*$C$26)+(1-C28)*C25)</f>
        <v>0.10558239950652823</v>
      </c>
      <c r="D30" s="98" t="s">
        <v>44</v>
      </c>
      <c r="E30" s="31" t="s">
        <v>38</v>
      </c>
    </row>
    <row r="31" spans="2:6" x14ac:dyDescent="0.25">
      <c r="B31" s="105" t="s">
        <v>46</v>
      </c>
      <c r="C31" s="101">
        <f>(C26*C29)+(C25*(1-C29))</f>
        <v>8.1404277354213885</v>
      </c>
      <c r="D31" s="98" t="s">
        <v>35</v>
      </c>
      <c r="E31" s="31" t="s">
        <v>38</v>
      </c>
    </row>
    <row r="32" spans="2:6" x14ac:dyDescent="0.25">
      <c r="B32" s="105" t="s">
        <v>47</v>
      </c>
      <c r="C32" s="101">
        <f>(C26*C30)+(C25*(1-C30))</f>
        <v>8.1550829855042668</v>
      </c>
      <c r="D32" s="98" t="s">
        <v>35</v>
      </c>
      <c r="E32" s="31" t="s">
        <v>38</v>
      </c>
    </row>
    <row r="33" spans="2:17" ht="15.75" thickBot="1" x14ac:dyDescent="0.3">
      <c r="B33" s="106" t="s">
        <v>48</v>
      </c>
      <c r="C33" s="104">
        <v>0.03</v>
      </c>
      <c r="D33" s="99" t="s">
        <v>40</v>
      </c>
      <c r="E33" s="32" t="s">
        <v>49</v>
      </c>
    </row>
    <row r="35" spans="2:17" x14ac:dyDescent="0.25">
      <c r="B35" s="83" t="s">
        <v>29</v>
      </c>
    </row>
    <row r="36" spans="2:17" x14ac:dyDescent="0.25">
      <c r="B36" s="84" t="s">
        <v>30</v>
      </c>
    </row>
    <row r="37" spans="2:17" x14ac:dyDescent="0.25">
      <c r="B37" s="84" t="s">
        <v>31</v>
      </c>
    </row>
    <row r="38" spans="2:17" x14ac:dyDescent="0.25">
      <c r="B38" s="84"/>
    </row>
    <row r="39" spans="2:17" x14ac:dyDescent="0.25">
      <c r="B39" s="84" t="s">
        <v>123</v>
      </c>
    </row>
    <row r="41" spans="2:17" ht="15.75" thickBot="1" x14ac:dyDescent="0.3">
      <c r="B41" s="61" t="s">
        <v>146</v>
      </c>
      <c r="C41" s="57"/>
      <c r="D41" s="57"/>
      <c r="E41" s="57"/>
      <c r="F41" s="57"/>
    </row>
    <row r="42" spans="2:17" ht="15.75" thickBot="1" x14ac:dyDescent="0.3">
      <c r="B42" s="316"/>
      <c r="C42" s="320" t="s">
        <v>103</v>
      </c>
      <c r="D42" s="320"/>
      <c r="E42" s="320"/>
      <c r="F42" s="321"/>
      <c r="G42" s="314" t="s">
        <v>3</v>
      </c>
      <c r="L42" s="57"/>
      <c r="M42" s="56"/>
      <c r="P42" s="201"/>
      <c r="Q42" s="201"/>
    </row>
    <row r="43" spans="2:17" ht="15.75" thickBot="1" x14ac:dyDescent="0.3">
      <c r="B43" s="317"/>
      <c r="C43" s="182" t="s">
        <v>144</v>
      </c>
      <c r="D43" s="183" t="s">
        <v>89</v>
      </c>
      <c r="E43" s="184" t="s">
        <v>90</v>
      </c>
      <c r="F43" s="184" t="s">
        <v>87</v>
      </c>
      <c r="G43" s="315"/>
      <c r="L43" s="57"/>
      <c r="M43" s="56"/>
      <c r="P43" s="201"/>
      <c r="Q43" s="201"/>
    </row>
    <row r="44" spans="2:17" ht="15.75" thickBot="1" x14ac:dyDescent="0.3">
      <c r="B44" s="185" t="s">
        <v>135</v>
      </c>
      <c r="C44" s="187">
        <v>75000</v>
      </c>
      <c r="D44" s="188">
        <v>400000</v>
      </c>
      <c r="E44" s="188">
        <v>2000000</v>
      </c>
      <c r="F44" s="189">
        <v>5000000</v>
      </c>
      <c r="G44" s="193" t="s">
        <v>137</v>
      </c>
      <c r="L44" s="57"/>
      <c r="M44" s="56"/>
      <c r="P44" s="201"/>
      <c r="Q44" s="201"/>
    </row>
    <row r="45" spans="2:17" ht="15.75" thickBot="1" x14ac:dyDescent="0.3">
      <c r="B45" s="186" t="s">
        <v>136</v>
      </c>
      <c r="C45" s="190">
        <v>400000</v>
      </c>
      <c r="D45" s="191">
        <v>2000000</v>
      </c>
      <c r="E45" s="191">
        <v>5000000</v>
      </c>
      <c r="F45" s="192"/>
      <c r="G45" s="193" t="s">
        <v>137</v>
      </c>
      <c r="L45" s="57"/>
      <c r="M45" s="56"/>
      <c r="P45" s="201"/>
      <c r="Q45" s="201"/>
    </row>
    <row r="46" spans="2:17" x14ac:dyDescent="0.25">
      <c r="B46" s="62" t="s">
        <v>91</v>
      </c>
      <c r="C46" s="86">
        <f>0.036*(55/30)</f>
        <v>6.5999999999999989E-2</v>
      </c>
      <c r="D46" s="67">
        <v>3.5999999999999997E-2</v>
      </c>
      <c r="E46" s="67">
        <v>3.5999999999999997E-2</v>
      </c>
      <c r="F46" s="67">
        <v>3.5999999999999997E-2</v>
      </c>
      <c r="G46" s="180" t="s">
        <v>92</v>
      </c>
      <c r="L46" s="57"/>
      <c r="M46" s="202"/>
      <c r="P46" s="201"/>
      <c r="Q46" s="201"/>
    </row>
    <row r="47" spans="2:17" x14ac:dyDescent="0.25">
      <c r="B47" s="63" t="s">
        <v>93</v>
      </c>
      <c r="C47" s="223">
        <v>5.4000000000000003E-3</v>
      </c>
      <c r="D47" s="223">
        <v>5.4000000000000003E-3</v>
      </c>
      <c r="E47" s="223">
        <v>5.4000000000000003E-3</v>
      </c>
      <c r="F47" s="223">
        <v>5.4000000000000003E-3</v>
      </c>
      <c r="G47" s="180" t="s">
        <v>92</v>
      </c>
      <c r="L47" s="57"/>
      <c r="M47" s="56"/>
      <c r="P47" s="201"/>
    </row>
    <row r="48" spans="2:17" x14ac:dyDescent="0.25">
      <c r="B48" s="63" t="s">
        <v>94</v>
      </c>
      <c r="C48" s="223">
        <v>3.9E-2</v>
      </c>
      <c r="D48" s="224">
        <v>0.29699999999999999</v>
      </c>
      <c r="E48" s="224">
        <v>0.29699999999999999</v>
      </c>
      <c r="F48" s="224">
        <v>0.29699999999999999</v>
      </c>
      <c r="G48" s="180" t="s">
        <v>92</v>
      </c>
    </row>
    <row r="49" spans="2:8" x14ac:dyDescent="0.25">
      <c r="B49" s="63" t="s">
        <v>95</v>
      </c>
      <c r="C49" s="226">
        <v>1.37E-2</v>
      </c>
      <c r="D49" s="227">
        <v>1.37E-2</v>
      </c>
      <c r="E49" s="227">
        <v>1.37E-2</v>
      </c>
      <c r="F49" s="227">
        <v>1.37E-2</v>
      </c>
      <c r="G49" s="180" t="s">
        <v>92</v>
      </c>
    </row>
    <row r="50" spans="2:8" ht="15.75" thickBot="1" x14ac:dyDescent="0.3">
      <c r="B50" s="64" t="s">
        <v>96</v>
      </c>
      <c r="C50" s="225">
        <v>7.4999999999999997E-3</v>
      </c>
      <c r="D50" s="225">
        <v>7.4999999999999997E-3</v>
      </c>
      <c r="E50" s="225">
        <v>7.4999999999999997E-3</v>
      </c>
      <c r="F50" s="225">
        <v>7.4999999999999997E-3</v>
      </c>
      <c r="G50" s="181" t="s">
        <v>92</v>
      </c>
    </row>
    <row r="52" spans="2:8" x14ac:dyDescent="0.25">
      <c r="B52" s="217"/>
    </row>
    <row r="53" spans="2:8" ht="15.75" thickBot="1" x14ac:dyDescent="0.3">
      <c r="B53" s="61" t="s">
        <v>134</v>
      </c>
      <c r="C53" s="57"/>
      <c r="D53" s="57"/>
      <c r="E53" s="57"/>
      <c r="F53" s="57"/>
      <c r="G53" s="57"/>
      <c r="H53" s="57"/>
    </row>
    <row r="54" spans="2:8" ht="15.75" thickBot="1" x14ac:dyDescent="0.3">
      <c r="B54" s="316"/>
      <c r="C54" s="322" t="s">
        <v>104</v>
      </c>
      <c r="D54" s="320"/>
      <c r="E54" s="320"/>
      <c r="F54" s="321"/>
      <c r="G54" s="314" t="s">
        <v>3</v>
      </c>
    </row>
    <row r="55" spans="2:8" ht="15.75" thickBot="1" x14ac:dyDescent="0.3">
      <c r="B55" s="318"/>
      <c r="C55" s="89" t="s">
        <v>88</v>
      </c>
      <c r="D55" s="91" t="s">
        <v>89</v>
      </c>
      <c r="E55" s="92" t="s">
        <v>90</v>
      </c>
      <c r="F55" s="92" t="s">
        <v>87</v>
      </c>
      <c r="G55" s="319"/>
    </row>
    <row r="56" spans="2:8" ht="15.75" thickBot="1" x14ac:dyDescent="0.3">
      <c r="B56" s="185" t="s">
        <v>135</v>
      </c>
      <c r="C56" s="187">
        <v>75000</v>
      </c>
      <c r="D56" s="188">
        <v>400000</v>
      </c>
      <c r="E56" s="188">
        <v>2000000</v>
      </c>
      <c r="F56" s="189">
        <v>5000000</v>
      </c>
      <c r="G56" s="199" t="s">
        <v>137</v>
      </c>
    </row>
    <row r="57" spans="2:8" ht="15.75" thickBot="1" x14ac:dyDescent="0.3">
      <c r="B57" s="186" t="s">
        <v>136</v>
      </c>
      <c r="C57" s="190">
        <v>400000</v>
      </c>
      <c r="D57" s="191">
        <v>2000000</v>
      </c>
      <c r="E57" s="191">
        <v>5000000</v>
      </c>
      <c r="F57" s="192"/>
      <c r="G57" s="200" t="s">
        <v>137</v>
      </c>
    </row>
    <row r="58" spans="2:8" x14ac:dyDescent="0.25">
      <c r="B58" s="62" t="s">
        <v>91</v>
      </c>
      <c r="C58" s="213">
        <f>0.036*(55/30)</f>
        <v>6.5999999999999989E-2</v>
      </c>
      <c r="D58" s="147">
        <v>3.5999999999999997E-2</v>
      </c>
      <c r="E58" s="147">
        <v>3.5999999999999997E-2</v>
      </c>
      <c r="F58" s="214">
        <v>3.5999999999999997E-2</v>
      </c>
      <c r="G58" s="174" t="s">
        <v>92</v>
      </c>
    </row>
    <row r="59" spans="2:8" x14ac:dyDescent="0.25">
      <c r="B59" s="63" t="s">
        <v>93</v>
      </c>
      <c r="C59" s="228">
        <v>5.4000000000000003E-3</v>
      </c>
      <c r="D59" s="68">
        <v>5.4000000000000003E-3</v>
      </c>
      <c r="E59" s="68">
        <v>5.4000000000000003E-3</v>
      </c>
      <c r="F59" s="229">
        <v>5.4000000000000003E-3</v>
      </c>
      <c r="G59" s="174" t="s">
        <v>92</v>
      </c>
    </row>
    <row r="60" spans="2:8" x14ac:dyDescent="0.25">
      <c r="B60" s="63" t="s">
        <v>94</v>
      </c>
      <c r="C60" s="228">
        <v>3.9E-2</v>
      </c>
      <c r="D60" s="230">
        <v>0.29699999999999999</v>
      </c>
      <c r="E60" s="230">
        <v>0.29699999999999999</v>
      </c>
      <c r="F60" s="231">
        <v>0.29699999999999999</v>
      </c>
      <c r="G60" s="174" t="s">
        <v>92</v>
      </c>
    </row>
    <row r="61" spans="2:8" x14ac:dyDescent="0.25">
      <c r="B61" s="63" t="s">
        <v>95</v>
      </c>
      <c r="C61" s="232">
        <v>1.7000000000000001E-2</v>
      </c>
      <c r="D61" s="233">
        <v>1.7000000000000001E-2</v>
      </c>
      <c r="E61" s="233">
        <v>1.7000000000000001E-2</v>
      </c>
      <c r="F61" s="234">
        <v>1.7000000000000001E-2</v>
      </c>
      <c r="G61" s="174" t="s">
        <v>92</v>
      </c>
    </row>
    <row r="62" spans="2:8" ht="15.75" thickBot="1" x14ac:dyDescent="0.3">
      <c r="B62" s="64" t="s">
        <v>96</v>
      </c>
      <c r="C62" s="215">
        <v>7.4999999999999997E-3</v>
      </c>
      <c r="D62" s="69">
        <v>7.4999999999999997E-3</v>
      </c>
      <c r="E62" s="69">
        <v>7.4999999999999997E-3</v>
      </c>
      <c r="F62" s="216">
        <v>7.4999999999999997E-3</v>
      </c>
      <c r="G62" s="175" t="s">
        <v>92</v>
      </c>
    </row>
    <row r="64" spans="2:8" ht="15.75" thickBot="1" x14ac:dyDescent="0.3">
      <c r="B64" s="1" t="s">
        <v>102</v>
      </c>
    </row>
    <row r="65" spans="2:9" ht="15.75" thickBot="1" x14ac:dyDescent="0.3">
      <c r="B65" s="17" t="s">
        <v>106</v>
      </c>
      <c r="C65" s="33" t="s">
        <v>53</v>
      </c>
      <c r="D65" s="16" t="s">
        <v>3</v>
      </c>
    </row>
    <row r="66" spans="2:9" x14ac:dyDescent="0.25">
      <c r="B66" s="19" t="s">
        <v>103</v>
      </c>
      <c r="C66" s="2">
        <v>117.1</v>
      </c>
      <c r="D66" s="44" t="s">
        <v>107</v>
      </c>
    </row>
    <row r="67" spans="2:9" x14ac:dyDescent="0.25">
      <c r="B67" s="20" t="s">
        <v>104</v>
      </c>
      <c r="C67" s="65">
        <v>136.05000000000001</v>
      </c>
      <c r="D67" s="12" t="s">
        <v>107</v>
      </c>
    </row>
    <row r="68" spans="2:9" x14ac:dyDescent="0.25">
      <c r="B68" s="312" t="s">
        <v>105</v>
      </c>
      <c r="C68" s="65">
        <v>163.61000000000001</v>
      </c>
      <c r="D68" s="12" t="s">
        <v>107</v>
      </c>
    </row>
    <row r="69" spans="2:9" ht="15.75" thickBot="1" x14ac:dyDescent="0.3">
      <c r="B69" s="313"/>
      <c r="C69" s="66">
        <v>556.6</v>
      </c>
      <c r="D69" s="13" t="s">
        <v>108</v>
      </c>
    </row>
    <row r="71" spans="2:9" ht="15.75" thickBot="1" x14ac:dyDescent="0.3">
      <c r="B71" s="61" t="s">
        <v>133</v>
      </c>
      <c r="C71" s="57"/>
      <c r="D71" s="57"/>
      <c r="E71" s="57"/>
      <c r="F71" s="57"/>
      <c r="G71" s="57"/>
      <c r="H71" s="57"/>
    </row>
    <row r="72" spans="2:9" ht="15.75" thickBot="1" x14ac:dyDescent="0.3">
      <c r="B72" s="88" t="s">
        <v>127</v>
      </c>
      <c r="C72" s="88" t="s">
        <v>147</v>
      </c>
      <c r="D72" s="89" t="s">
        <v>91</v>
      </c>
      <c r="E72" s="92" t="s">
        <v>93</v>
      </c>
      <c r="F72" s="92" t="s">
        <v>94</v>
      </c>
      <c r="G72" s="93" t="s">
        <v>140</v>
      </c>
      <c r="H72" s="90" t="s">
        <v>96</v>
      </c>
      <c r="I72" s="90" t="s">
        <v>3</v>
      </c>
    </row>
    <row r="73" spans="2:9" x14ac:dyDescent="0.25">
      <c r="B73" s="146" t="s">
        <v>129</v>
      </c>
      <c r="C73" s="153">
        <v>2</v>
      </c>
      <c r="D73" s="152">
        <v>5.2</v>
      </c>
      <c r="E73" s="147">
        <v>0.39960000000000001</v>
      </c>
      <c r="F73" s="166">
        <v>3.7</v>
      </c>
      <c r="G73" s="177">
        <f>$C$92</f>
        <v>5.5050000000000003E-3</v>
      </c>
      <c r="H73" s="148">
        <v>0.3</v>
      </c>
      <c r="I73" s="148" t="s">
        <v>108</v>
      </c>
    </row>
    <row r="74" spans="2:9" x14ac:dyDescent="0.25">
      <c r="B74" s="63"/>
      <c r="C74" s="154">
        <v>3</v>
      </c>
      <c r="D74" s="68">
        <v>3.3</v>
      </c>
      <c r="E74" s="68">
        <v>0.19980000000000001</v>
      </c>
      <c r="F74" s="167">
        <v>3.7</v>
      </c>
      <c r="G74" s="178">
        <f t="shared" ref="G74:G87" si="0">$C$92</f>
        <v>5.5050000000000003E-3</v>
      </c>
      <c r="H74" s="59">
        <v>0.3</v>
      </c>
      <c r="I74" s="59" t="s">
        <v>108</v>
      </c>
    </row>
    <row r="75" spans="2:9" ht="15.75" thickBot="1" x14ac:dyDescent="0.3">
      <c r="B75" s="64"/>
      <c r="C75" s="155">
        <v>4</v>
      </c>
      <c r="D75" s="69">
        <v>3.3</v>
      </c>
      <c r="E75" s="149">
        <v>0.19980000000000001</v>
      </c>
      <c r="F75" s="168">
        <v>3.7</v>
      </c>
      <c r="G75" s="179">
        <f t="shared" si="0"/>
        <v>5.5050000000000003E-3</v>
      </c>
      <c r="H75" s="70">
        <v>0.02</v>
      </c>
      <c r="I75" s="70" t="s">
        <v>108</v>
      </c>
    </row>
    <row r="76" spans="2:9" x14ac:dyDescent="0.25">
      <c r="B76" s="146" t="s">
        <v>130</v>
      </c>
      <c r="C76" s="153">
        <v>2</v>
      </c>
      <c r="D76" s="152">
        <v>5.2</v>
      </c>
      <c r="E76" s="147">
        <v>0.39960000000000001</v>
      </c>
      <c r="F76" s="169">
        <v>3.7</v>
      </c>
      <c r="G76" s="150">
        <f t="shared" si="0"/>
        <v>5.5050000000000003E-3</v>
      </c>
      <c r="H76" s="148">
        <v>0.3</v>
      </c>
      <c r="I76" s="148" t="s">
        <v>108</v>
      </c>
    </row>
    <row r="77" spans="2:9" x14ac:dyDescent="0.25">
      <c r="B77" s="63"/>
      <c r="C77" s="156">
        <v>3</v>
      </c>
      <c r="D77" s="68">
        <v>3.3</v>
      </c>
      <c r="E77" s="68">
        <v>0.19980000000000001</v>
      </c>
      <c r="F77" s="170">
        <v>3.7</v>
      </c>
      <c r="G77" s="87">
        <f t="shared" si="0"/>
        <v>5.5050000000000003E-3</v>
      </c>
      <c r="H77" s="59">
        <v>0.3</v>
      </c>
      <c r="I77" s="59" t="s">
        <v>108</v>
      </c>
    </row>
    <row r="78" spans="2:9" ht="15.75" thickBot="1" x14ac:dyDescent="0.3">
      <c r="B78" s="64"/>
      <c r="C78" s="157">
        <v>4</v>
      </c>
      <c r="D78" s="68">
        <v>0.3</v>
      </c>
      <c r="E78" s="163">
        <v>0.1399</v>
      </c>
      <c r="F78" s="171">
        <v>3.7</v>
      </c>
      <c r="G78" s="151">
        <f t="shared" si="0"/>
        <v>5.5050000000000003E-3</v>
      </c>
      <c r="H78" s="70">
        <v>0.01</v>
      </c>
      <c r="I78" s="70" t="s">
        <v>108</v>
      </c>
    </row>
    <row r="79" spans="2:9" x14ac:dyDescent="0.25">
      <c r="B79" s="146" t="s">
        <v>128</v>
      </c>
      <c r="C79" s="153">
        <v>2</v>
      </c>
      <c r="D79" s="152">
        <v>4.5</v>
      </c>
      <c r="E79" s="147">
        <v>0.39960000000000001</v>
      </c>
      <c r="F79" s="169">
        <v>3.7</v>
      </c>
      <c r="G79" s="150">
        <f t="shared" si="0"/>
        <v>5.5050000000000003E-3</v>
      </c>
      <c r="H79" s="148">
        <v>0.22</v>
      </c>
      <c r="I79" s="148" t="s">
        <v>108</v>
      </c>
    </row>
    <row r="80" spans="2:9" x14ac:dyDescent="0.25">
      <c r="B80" s="63"/>
      <c r="C80" s="156">
        <v>3</v>
      </c>
      <c r="D80" s="68">
        <v>2.8</v>
      </c>
      <c r="E80" s="68">
        <v>0.19980000000000001</v>
      </c>
      <c r="F80" s="170">
        <v>3.7</v>
      </c>
      <c r="G80" s="87">
        <f t="shared" si="0"/>
        <v>5.5050000000000003E-3</v>
      </c>
      <c r="H80" s="59">
        <v>0.22</v>
      </c>
      <c r="I80" s="59" t="s">
        <v>108</v>
      </c>
    </row>
    <row r="81" spans="2:9" ht="15.75" thickBot="1" x14ac:dyDescent="0.3">
      <c r="B81" s="64"/>
      <c r="C81" s="157">
        <v>4</v>
      </c>
      <c r="D81" s="68">
        <v>0.3</v>
      </c>
      <c r="E81" s="163">
        <v>0.1399</v>
      </c>
      <c r="F81" s="171">
        <v>3.7</v>
      </c>
      <c r="G81" s="151">
        <f t="shared" si="0"/>
        <v>5.5050000000000003E-3</v>
      </c>
      <c r="H81" s="70">
        <v>0.01</v>
      </c>
      <c r="I81" s="70" t="s">
        <v>108</v>
      </c>
    </row>
    <row r="82" spans="2:9" x14ac:dyDescent="0.25">
      <c r="B82" s="62" t="s">
        <v>131</v>
      </c>
      <c r="C82" s="156">
        <v>2</v>
      </c>
      <c r="D82" s="152">
        <v>4.5</v>
      </c>
      <c r="E82" s="147">
        <v>0.39960000000000001</v>
      </c>
      <c r="F82" s="172">
        <v>2.6</v>
      </c>
      <c r="G82" s="145">
        <f t="shared" si="0"/>
        <v>5.5050000000000003E-3</v>
      </c>
      <c r="H82" s="59">
        <v>0.15</v>
      </c>
      <c r="I82" s="59" t="s">
        <v>108</v>
      </c>
    </row>
    <row r="83" spans="2:9" x14ac:dyDescent="0.25">
      <c r="B83" s="63"/>
      <c r="C83" s="156">
        <v>3</v>
      </c>
      <c r="D83" s="68">
        <v>2.8</v>
      </c>
      <c r="E83" s="68">
        <v>0.19980000000000001</v>
      </c>
      <c r="F83" s="170">
        <v>2.6</v>
      </c>
      <c r="G83" s="87">
        <f t="shared" si="0"/>
        <v>5.5050000000000003E-3</v>
      </c>
      <c r="H83" s="59">
        <v>0.15</v>
      </c>
      <c r="I83" s="59" t="s">
        <v>108</v>
      </c>
    </row>
    <row r="84" spans="2:9" ht="15.75" thickBot="1" x14ac:dyDescent="0.3">
      <c r="B84" s="159"/>
      <c r="C84" s="160">
        <v>4</v>
      </c>
      <c r="D84" s="161">
        <v>0.3</v>
      </c>
      <c r="E84" s="163">
        <v>0.1399</v>
      </c>
      <c r="F84" s="173">
        <v>2.6</v>
      </c>
      <c r="G84" s="162">
        <f t="shared" si="0"/>
        <v>5.5050000000000003E-3</v>
      </c>
      <c r="H84" s="176">
        <v>0.01</v>
      </c>
      <c r="I84" s="158" t="s">
        <v>108</v>
      </c>
    </row>
    <row r="85" spans="2:9" x14ac:dyDescent="0.25">
      <c r="B85" s="146" t="s">
        <v>132</v>
      </c>
      <c r="C85" s="153">
        <v>2</v>
      </c>
      <c r="D85" s="152">
        <v>4.5</v>
      </c>
      <c r="E85" s="164">
        <v>0.29970000000000002</v>
      </c>
      <c r="F85" s="169">
        <v>2.6</v>
      </c>
      <c r="G85" s="150">
        <f t="shared" si="0"/>
        <v>5.5050000000000003E-3</v>
      </c>
      <c r="H85" s="59">
        <v>0.15</v>
      </c>
      <c r="I85" s="148" t="s">
        <v>108</v>
      </c>
    </row>
    <row r="86" spans="2:9" x14ac:dyDescent="0.25">
      <c r="B86" s="63"/>
      <c r="C86" s="156">
        <v>3</v>
      </c>
      <c r="D86" s="68">
        <v>2.8</v>
      </c>
      <c r="E86" s="165">
        <v>0.19980000000000001</v>
      </c>
      <c r="F86" s="170">
        <v>2.6</v>
      </c>
      <c r="G86" s="87">
        <f t="shared" si="0"/>
        <v>5.5050000000000003E-3</v>
      </c>
      <c r="H86" s="59">
        <v>0.15</v>
      </c>
      <c r="I86" s="59" t="s">
        <v>108</v>
      </c>
    </row>
    <row r="87" spans="2:9" ht="15.75" thickBot="1" x14ac:dyDescent="0.3">
      <c r="B87" s="64"/>
      <c r="C87" s="157">
        <v>4</v>
      </c>
      <c r="D87" s="69">
        <v>0.3</v>
      </c>
      <c r="E87" s="163">
        <v>0.1399</v>
      </c>
      <c r="F87" s="171">
        <v>2.6</v>
      </c>
      <c r="G87" s="151">
        <f t="shared" si="0"/>
        <v>5.5050000000000003E-3</v>
      </c>
      <c r="H87" s="176">
        <v>0.01</v>
      </c>
      <c r="I87" s="70" t="s">
        <v>108</v>
      </c>
    </row>
    <row r="89" spans="2:9" ht="15.75" thickBot="1" x14ac:dyDescent="0.3">
      <c r="B89" s="1" t="s">
        <v>141</v>
      </c>
    </row>
    <row r="90" spans="2:9" x14ac:dyDescent="0.25">
      <c r="B90" s="207" t="s">
        <v>139</v>
      </c>
      <c r="C90" s="208">
        <v>3.67</v>
      </c>
      <c r="D90" s="209" t="s">
        <v>138</v>
      </c>
      <c r="E90" s="210" t="s">
        <v>100</v>
      </c>
    </row>
    <row r="91" spans="2:9" ht="15.75" thickBot="1" x14ac:dyDescent="0.3">
      <c r="B91" s="211" t="s">
        <v>98</v>
      </c>
      <c r="C91" s="212">
        <v>1.5E-3</v>
      </c>
      <c r="D91" s="58" t="s">
        <v>99</v>
      </c>
      <c r="E91" s="60" t="s">
        <v>101</v>
      </c>
    </row>
    <row r="92" spans="2:9" ht="15.75" thickBot="1" x14ac:dyDescent="0.3">
      <c r="B92" s="203"/>
      <c r="C92" s="204">
        <f>C90*C91</f>
        <v>5.5050000000000003E-3</v>
      </c>
      <c r="D92" s="205" t="s">
        <v>100</v>
      </c>
      <c r="E92" s="206"/>
    </row>
    <row r="95" spans="2:9" x14ac:dyDescent="0.25">
      <c r="B95" t="s">
        <v>103</v>
      </c>
    </row>
    <row r="96" spans="2:9" x14ac:dyDescent="0.25">
      <c r="B96" t="s">
        <v>104</v>
      </c>
    </row>
  </sheetData>
  <mergeCells count="7">
    <mergeCell ref="B68:B69"/>
    <mergeCell ref="G42:G43"/>
    <mergeCell ref="B42:B43"/>
    <mergeCell ref="B54:B55"/>
    <mergeCell ref="G54:G55"/>
    <mergeCell ref="C42:F42"/>
    <mergeCell ref="C54:F54"/>
  </mergeCells>
  <pageMargins left="0.7" right="0.7" top="0.75" bottom="0.75" header="0.3" footer="0.3"/>
  <pageSetup orientation="portrait" r:id="rId1"/>
  <ignoredErrors>
    <ignoredError sqref="G73:G75"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Calculator</vt:lpstr>
      <vt:lpstr>Wine ROC Emissions</vt:lpstr>
      <vt:lpstr>Fermentation CO2 Emissions </vt:lpstr>
      <vt:lpstr>Conversions and EF</vt:lpstr>
      <vt:lpstr>Boiler</vt:lpstr>
      <vt:lpstr>No</vt:lpstr>
      <vt:lpstr>propane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Krista Nightingale</dc:creator>
  <cp:lastModifiedBy>Emily Waddington</cp:lastModifiedBy>
  <dcterms:created xsi:type="dcterms:W3CDTF">2016-10-27T23:25:21Z</dcterms:created>
  <dcterms:modified xsi:type="dcterms:W3CDTF">2025-02-18T20:06:06Z</dcterms:modified>
</cp:coreProperties>
</file>